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9126"/>
  <workbookPr codeName="ThisWorkbook" defaultThemeVersion="166925"/>
  <mc:AlternateContent xmlns:mc="http://schemas.openxmlformats.org/markup-compatibility/2006">
    <mc:Choice Requires="x15">
      <x15ac:absPath xmlns:x15ac="http://schemas.microsoft.com/office/spreadsheetml/2010/11/ac" url="J:\Pricing\DUoS\April 2021\Published\"/>
    </mc:Choice>
  </mc:AlternateContent>
  <xr:revisionPtr revIDLastSave="0" documentId="10_ncr:100000_{9531EAD7-150A-484A-84CD-9E8F68E2A2BD}" xr6:coauthVersionLast="31" xr6:coauthVersionMax="31" xr10:uidLastSave="{00000000-0000-0000-0000-000000000000}"/>
  <workbookProtection lockStructure="1"/>
  <bookViews>
    <workbookView xWindow="-28920" yWindow="-3375" windowWidth="24240" windowHeight="13740" tabRatio="933" xr2:uid="{00000000-000D-0000-FFFF-FFFF00000000}"/>
  </bookViews>
  <sheets>
    <sheet name="Cover" sheetId="27" r:id="rId1"/>
    <sheet name="Version control" sheetId="55" r:id="rId2"/>
    <sheet name="Model map" sheetId="28" r:id="rId3"/>
    <sheet name="Index" sheetId="85" r:id="rId4"/>
    <sheet name="Named ranges" sheetId="84" r:id="rId5"/>
    <sheet name="Fixed inputs" sheetId="90" r:id="rId6"/>
    <sheet name="Inputs by customer type" sheetId="87" r:id="rId7"/>
    <sheet name="Inputs by network level" sheetId="86" r:id="rId8"/>
    <sheet name="General inputs" sheetId="89" r:id="rId9"/>
    <sheet name="Standing charge factors" sheetId="70" r:id="rId10"/>
    <sheet name="Load &amp; loss characteristics" sheetId="31" r:id="rId11"/>
    <sheet name="Customer contributions" sheetId="23" r:id="rId12"/>
    <sheet name="Volume adjustments" sheetId="22" r:id="rId13"/>
    <sheet name="Pseudo-load coefficients" sheetId="53" r:id="rId14"/>
    <sheet name="System peak demand" sheetId="80" r:id="rId15"/>
    <sheet name="Service model assets" sheetId="111" r:id="rId16"/>
    <sheet name="Unit costs" sheetId="81" r:id="rId17"/>
    <sheet name="Initial unit rates" sheetId="83" r:id="rId18"/>
    <sheet name="Service model charges" sheetId="76" r:id="rId19"/>
    <sheet name="Unit rate charges" sheetId="71" r:id="rId20"/>
    <sheet name="Reactive power charges" sheetId="72" r:id="rId21"/>
    <sheet name="Capacity charges" sheetId="73" r:id="rId22"/>
    <sheet name="Fixed charges" sheetId="74" r:id="rId23"/>
    <sheet name="Revenue matching" sheetId="41" r:id="rId24"/>
    <sheet name="Fixed charge adder" sheetId="112" r:id="rId25"/>
    <sheet name="Rounding" sheetId="65" r:id="rId26"/>
    <sheet name="Net revenue summary" sheetId="105" r:id="rId27"/>
    <sheet name="Tariff summary" sheetId="106" r:id="rId28"/>
    <sheet name="Output to other models" sheetId="82" r:id="rId29"/>
  </sheets>
  <definedNames>
    <definedName name="charging_year" comment="Year for which charges are being calculated">Cover!$D$19</definedName>
    <definedName name="check_decimals" comment="Number of decimal places of precision for in-built model checks">'Fixed inputs'!$H$153</definedName>
    <definedName name="days_in_year" comment="Days in the charging year">'General inputs'!$H$92</definedName>
    <definedName name="DNO_name" comment="Name of DNO">Cover!$D$21</definedName>
    <definedName name="hours_in_day" comment="Hours per day">'Fixed inputs'!$H$15</definedName>
    <definedName name="hours_in_year" comment="Hours in the charging year">'General inputs'!$H$93</definedName>
    <definedName name="HTML_CodePage" hidden="1">1252</definedName>
    <definedName name="HTML_Control" localSheetId="21" hidden="1">{"'Sheet1'!$A$1:$G$85"}</definedName>
    <definedName name="HTML_Control" localSheetId="0" hidden="1">{"'Sheet1'!$A$1:$G$85"}</definedName>
    <definedName name="HTML_Control" localSheetId="24" hidden="1">{"'Sheet1'!$A$1:$G$85"}</definedName>
    <definedName name="HTML_Control" localSheetId="22" hidden="1">{"'Sheet1'!$A$1:$G$85"}</definedName>
    <definedName name="HTML_Control" localSheetId="2" hidden="1">{"'Sheet1'!$A$1:$G$85"}</definedName>
    <definedName name="HTML_Control" localSheetId="28" hidden="1">{"'Sheet1'!$A$1:$G$85"}</definedName>
    <definedName name="HTML_Control" localSheetId="13" hidden="1">{"'Sheet1'!$A$1:$G$85"}</definedName>
    <definedName name="HTML_Control" localSheetId="20" hidden="1">{"'Sheet1'!$A$1:$G$85"}</definedName>
    <definedName name="HTML_Control" localSheetId="23" hidden="1">{"'Sheet1'!$A$1:$G$85"}</definedName>
    <definedName name="HTML_Control" localSheetId="25" hidden="1">{"'Sheet1'!$A$1:$G$85"}</definedName>
    <definedName name="HTML_Control" localSheetId="18" hidden="1">{"'Sheet1'!$A$1:$G$85"}</definedName>
    <definedName name="HTML_Control" localSheetId="9" hidden="1">{"'Sheet1'!$A$1:$G$85"}</definedName>
    <definedName name="HTML_Control" localSheetId="27" hidden="1">{"'Sheet1'!$A$1:$G$85"}</definedName>
    <definedName name="HTML_Control" localSheetId="19" hidden="1">{"'Sheet1'!$A$1:$G$85"}</definedName>
    <definedName name="HTML_Control" localSheetId="1" hidden="1">{"'Sheet1'!$A$1:$G$85"}</definedName>
    <definedName name="HTML_Control" hidden="1">{"'Sheet1'!$A$1:$G$85"}</definedName>
    <definedName name="HTML_Description" hidden="1">""</definedName>
    <definedName name="HTML_Email" hidden="1">""</definedName>
    <definedName name="HTML_Header" hidden="1">"Sheet1"</definedName>
    <definedName name="HTML_LastUpdate" hidden="1">"2/24/99"</definedName>
    <definedName name="HTML_LineAfter" hidden="1">TRUE</definedName>
    <definedName name="HTML_LineBefore" hidden="1">TRUE</definedName>
    <definedName name="HTML_Name" hidden="1">"Aswath Damodaran"</definedName>
    <definedName name="HTML_OBDlg2" hidden="1">TRUE</definedName>
    <definedName name="HTML_OBDlg4" hidden="1">TRUE</definedName>
    <definedName name="HTML_OS" hidden="1">1</definedName>
    <definedName name="HTML_PathFileMac" hidden="1">"Macintosh HD:HomePageStuff:New_Home_Page:datafile:histret.html"</definedName>
    <definedName name="HTML_Title" hidden="1">"Historical Returns on Stocks, Bonds and Bills"</definedName>
    <definedName name="HTML1_1" hidden="1">"[ReturnsHistorical]Sheet1!$A$1:$D$77"</definedName>
    <definedName name="HTML1_10" hidden="1">""</definedName>
    <definedName name="HTML1_11" hidden="1">1</definedName>
    <definedName name="HTML1_12" hidden="1">"Zip 100:New_Home_Page:datafile:histret.html"</definedName>
    <definedName name="HTML1_2" hidden="1">1</definedName>
    <definedName name="HTML1_3" hidden="1">"ReturnsHistorical"</definedName>
    <definedName name="HTML1_4" hidden="1">"Historical Returns on Stocks, Bonds and Bills"</definedName>
    <definedName name="HTML1_5" hidden="1">"Ibbotson Data"</definedName>
    <definedName name="HTML1_6" hidden="1">-4146</definedName>
    <definedName name="HTML1_7" hidden="1">-4146</definedName>
    <definedName name="HTML1_8" hidden="1">"3/17/97"</definedName>
    <definedName name="HTML1_9" hidden="1">"Aswath Damodaran"</definedName>
    <definedName name="HTML2_1" hidden="1">"[histret.xls]Sheet1!$A$1:$G$85"</definedName>
    <definedName name="HTML2_10" hidden="1">""</definedName>
    <definedName name="HTML2_11" hidden="1">1</definedName>
    <definedName name="HTML2_12" hidden="1">"Macintosh HD:New_Home_Page:datafile:histret.html"</definedName>
    <definedName name="HTML2_2" hidden="1">1</definedName>
    <definedName name="HTML2_3" hidden="1">"Historical Returns"</definedName>
    <definedName name="HTML2_4" hidden="1">"Historical Returns on Stocks, Bonds and Bills"</definedName>
    <definedName name="HTML2_5" hidden="1">""</definedName>
    <definedName name="HTML2_6" hidden="1">1</definedName>
    <definedName name="HTML2_7" hidden="1">1</definedName>
    <definedName name="HTML2_8" hidden="1">"2/3/98"</definedName>
    <definedName name="HTML2_9" hidden="1">"Aswath Damodaran"</definedName>
    <definedName name="HTMLCount" hidden="1">2</definedName>
    <definedName name="hundred" comment="Equal to 100">'Fixed inputs'!$H$17</definedName>
    <definedName name="PowerFactor" comment="Power factor, equal to 0.95">'Fixed inputs'!$H$37</definedName>
    <definedName name="ten" comment="Equal to 10">'Fixed inputs'!$H$16</definedName>
    <definedName name="thousand" comment="Equal to 1000">'Fixed inputs'!$H$18</definedName>
  </definedNames>
  <calcPr calcId="179017"/>
  <fileRecoveryPr autoRecover="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116" i="41" l="1"/>
  <c r="L116" i="41" s="1"/>
  <c r="M116" i="41" s="1"/>
  <c r="N116" i="41" s="1"/>
  <c r="O116" i="41" s="1"/>
  <c r="P116" i="41" s="1"/>
  <c r="Q116" i="41" s="1"/>
  <c r="R116" i="41" s="1"/>
  <c r="S116" i="41" s="1"/>
  <c r="T116" i="41" s="1"/>
  <c r="U116" i="41" s="1"/>
  <c r="V116" i="41" s="1"/>
  <c r="W116" i="41" s="1"/>
  <c r="X116" i="41" s="1"/>
  <c r="Y116" i="41" s="1"/>
  <c r="Z116" i="41" s="1"/>
  <c r="AA116" i="41" s="1"/>
  <c r="AB116" i="41" s="1"/>
  <c r="AC116" i="41" s="1"/>
  <c r="AD116" i="41" s="1"/>
  <c r="AE116" i="41" s="1"/>
  <c r="AF116" i="41" s="1"/>
  <c r="AG116" i="41" s="1"/>
  <c r="AH116" i="41" s="1"/>
  <c r="AI116" i="41" s="1"/>
  <c r="AJ116" i="41" s="1"/>
  <c r="AK116" i="41" s="1"/>
  <c r="AL116" i="41" s="1"/>
  <c r="AM116" i="41" s="1"/>
  <c r="AN116" i="41" s="1"/>
  <c r="AO116" i="41" s="1"/>
  <c r="AP116" i="41" s="1"/>
  <c r="AQ116" i="41" s="1"/>
  <c r="AR116" i="41" s="1"/>
  <c r="AS116" i="41" s="1"/>
  <c r="AT116" i="41" s="1"/>
  <c r="AU116" i="41" s="1"/>
  <c r="AV116" i="41" s="1"/>
  <c r="AW116" i="41" s="1"/>
  <c r="AX116" i="41" s="1"/>
  <c r="AY116" i="41" s="1"/>
  <c r="AZ116" i="41" s="1"/>
  <c r="BA116" i="41" s="1"/>
  <c r="BB116" i="41" s="1"/>
  <c r="BC116" i="41" s="1"/>
  <c r="BD116" i="41" s="1"/>
  <c r="BE116" i="41" s="1"/>
  <c r="BF116" i="41" s="1"/>
  <c r="BG116" i="41" s="1"/>
  <c r="BH116" i="41" s="1"/>
  <c r="BI116" i="41" s="1"/>
  <c r="BJ116" i="41" s="1"/>
  <c r="BK116" i="41" s="1"/>
  <c r="BL116" i="41" s="1"/>
  <c r="BM116" i="41" s="1"/>
  <c r="BN116" i="41" s="1"/>
  <c r="G70" i="85" l="1"/>
  <c r="G69" i="85"/>
  <c r="G68" i="85"/>
  <c r="G67" i="85"/>
  <c r="G66" i="85"/>
  <c r="G65" i="85"/>
  <c r="G64" i="85"/>
  <c r="G63" i="85"/>
  <c r="G62" i="85"/>
  <c r="G61" i="85"/>
  <c r="G60" i="85"/>
  <c r="G59" i="85"/>
  <c r="G58" i="85"/>
  <c r="G57" i="85"/>
  <c r="G56" i="85"/>
  <c r="G55" i="85"/>
  <c r="G54" i="85"/>
  <c r="G53" i="85"/>
  <c r="G52" i="85"/>
  <c r="G51" i="85"/>
  <c r="G50" i="85"/>
  <c r="G49" i="85"/>
  <c r="G48" i="85"/>
  <c r="G47" i="85"/>
  <c r="G46" i="85"/>
  <c r="G45" i="85"/>
  <c r="G44" i="85"/>
  <c r="G43" i="85"/>
  <c r="G42" i="85"/>
  <c r="G41" i="85"/>
  <c r="G40" i="85"/>
  <c r="G39" i="85"/>
  <c r="G38" i="85"/>
  <c r="G37" i="85"/>
  <c r="G36" i="85"/>
  <c r="G35" i="85"/>
  <c r="G34" i="85"/>
  <c r="G33" i="85"/>
  <c r="G32" i="85"/>
  <c r="G31" i="85"/>
  <c r="G30" i="85"/>
  <c r="G29" i="85"/>
  <c r="G28" i="85"/>
  <c r="G27" i="85"/>
  <c r="G26" i="85"/>
  <c r="G25" i="85"/>
  <c r="G24" i="85"/>
  <c r="G23" i="85"/>
  <c r="G22" i="85"/>
  <c r="G21" i="85"/>
  <c r="G20" i="85"/>
  <c r="G19" i="85"/>
  <c r="G18" i="85"/>
  <c r="G17" i="85"/>
  <c r="G16" i="85"/>
  <c r="K53" i="86" l="1"/>
  <c r="N53" i="86"/>
  <c r="O53" i="86"/>
  <c r="Q53" i="86"/>
  <c r="R53" i="86"/>
  <c r="P54" i="86"/>
  <c r="M54" i="86"/>
  <c r="S53" i="86"/>
  <c r="L54" i="86"/>
  <c r="H97" i="87"/>
  <c r="H96" i="87"/>
  <c r="H95" i="87"/>
  <c r="H92" i="87"/>
  <c r="H91" i="87"/>
  <c r="H90" i="87"/>
  <c r="H87" i="87"/>
  <c r="H86" i="87"/>
  <c r="H85" i="87"/>
  <c r="N38" i="53" l="1"/>
  <c r="O38" i="53"/>
  <c r="P38" i="53"/>
  <c r="Q38" i="53"/>
  <c r="R38" i="53"/>
  <c r="S38" i="53"/>
  <c r="H22" i="72" l="1" a="1"/>
  <c r="H22" i="72" s="1"/>
  <c r="J21" i="23" a="1"/>
  <c r="J21" i="23" s="1"/>
  <c r="M24" i="23"/>
  <c r="M28" i="23"/>
  <c r="M32" i="23"/>
  <c r="M36" i="23"/>
  <c r="J90" i="31" a="1"/>
  <c r="J90" i="31" s="1"/>
  <c r="O91" i="31"/>
  <c r="K93" i="31"/>
  <c r="Q94" i="31"/>
  <c r="M96" i="31"/>
  <c r="S97" i="31"/>
  <c r="S120" i="31" s="1"/>
  <c r="O99" i="31"/>
  <c r="K101" i="31"/>
  <c r="Q102" i="31"/>
  <c r="M104" i="31"/>
  <c r="S105" i="31"/>
  <c r="O107" i="31"/>
  <c r="J46" i="31" a="1"/>
  <c r="J46" i="31" s="1"/>
  <c r="O47" i="31"/>
  <c r="K49" i="31"/>
  <c r="Q50" i="31"/>
  <c r="M52" i="31"/>
  <c r="S53" i="31"/>
  <c r="S75" i="31" s="1"/>
  <c r="O55" i="31"/>
  <c r="K57" i="31"/>
  <c r="Q58" i="31"/>
  <c r="M60" i="31"/>
  <c r="S61" i="31"/>
  <c r="O63" i="31"/>
  <c r="S156" i="105"/>
  <c r="R156" i="105"/>
  <c r="Q156" i="105"/>
  <c r="S149" i="105"/>
  <c r="R149" i="105"/>
  <c r="Q149" i="105"/>
  <c r="S148" i="105"/>
  <c r="R148" i="105"/>
  <c r="Q148" i="105"/>
  <c r="S147" i="105"/>
  <c r="R147" i="105"/>
  <c r="Q147" i="105"/>
  <c r="S146" i="105"/>
  <c r="R146" i="105"/>
  <c r="Q146" i="105"/>
  <c r="S145" i="105"/>
  <c r="R145" i="105"/>
  <c r="Q145" i="105"/>
  <c r="S144" i="105"/>
  <c r="R144" i="105"/>
  <c r="Q144" i="105"/>
  <c r="S143" i="105"/>
  <c r="R143" i="105"/>
  <c r="Q143" i="105"/>
  <c r="S60" i="105"/>
  <c r="R60" i="105"/>
  <c r="S59" i="105"/>
  <c r="R59" i="105"/>
  <c r="S58" i="105"/>
  <c r="R58" i="105"/>
  <c r="S57" i="105"/>
  <c r="R57" i="105"/>
  <c r="S56" i="105"/>
  <c r="R56" i="105"/>
  <c r="S55" i="105"/>
  <c r="R55" i="105"/>
  <c r="S54" i="105"/>
  <c r="R54" i="105"/>
  <c r="S40" i="105"/>
  <c r="R40" i="105"/>
  <c r="Q40" i="105"/>
  <c r="S39" i="105"/>
  <c r="R39" i="105"/>
  <c r="Q39" i="105"/>
  <c r="S38" i="105"/>
  <c r="R38" i="105"/>
  <c r="Q38" i="105"/>
  <c r="S37" i="105"/>
  <c r="S130" i="105" s="1"/>
  <c r="R37" i="105"/>
  <c r="Q37" i="105"/>
  <c r="S36" i="105"/>
  <c r="R36" i="105"/>
  <c r="Q36" i="105"/>
  <c r="S35" i="105"/>
  <c r="R35" i="105"/>
  <c r="Q35" i="105"/>
  <c r="S34" i="105"/>
  <c r="R34" i="105"/>
  <c r="Q34" i="105"/>
  <c r="S31" i="105"/>
  <c r="R31" i="105"/>
  <c r="R100" i="105" s="1"/>
  <c r="S30" i="105"/>
  <c r="S99" i="105" s="1"/>
  <c r="R30" i="105"/>
  <c r="S29" i="105"/>
  <c r="R29" i="105"/>
  <c r="R98" i="105" s="1"/>
  <c r="S28" i="105"/>
  <c r="S97" i="105" s="1"/>
  <c r="R28" i="105"/>
  <c r="R129" i="105" s="1"/>
  <c r="S27" i="105"/>
  <c r="R27" i="105"/>
  <c r="R96" i="105" s="1"/>
  <c r="S26" i="105"/>
  <c r="S95" i="105" s="1"/>
  <c r="R26" i="105"/>
  <c r="S25" i="105"/>
  <c r="R25" i="105"/>
  <c r="S22" i="105"/>
  <c r="R22" i="105"/>
  <c r="Q22" i="105"/>
  <c r="S21" i="105"/>
  <c r="R21" i="105"/>
  <c r="Q21" i="105"/>
  <c r="S20" i="105"/>
  <c r="R20" i="105"/>
  <c r="Q20" i="105"/>
  <c r="S19" i="105"/>
  <c r="R19" i="105"/>
  <c r="Q19" i="105"/>
  <c r="S18" i="105"/>
  <c r="R18" i="105"/>
  <c r="Q18" i="105"/>
  <c r="S17" i="105"/>
  <c r="R17" i="105"/>
  <c r="Q17" i="105"/>
  <c r="S16" i="105"/>
  <c r="R16" i="105"/>
  <c r="Q16" i="105"/>
  <c r="S27" i="112"/>
  <c r="R27" i="112"/>
  <c r="Q27" i="112"/>
  <c r="S26" i="112"/>
  <c r="S44" i="112" s="1"/>
  <c r="R26" i="112"/>
  <c r="R44" i="112" s="1"/>
  <c r="Q26" i="112"/>
  <c r="Q44" i="112" s="1"/>
  <c r="S23" i="112"/>
  <c r="R23" i="112"/>
  <c r="Q23" i="112"/>
  <c r="S22" i="112"/>
  <c r="R22" i="112"/>
  <c r="Q22" i="112"/>
  <c r="S21" i="112"/>
  <c r="R21" i="112"/>
  <c r="S20" i="112"/>
  <c r="R20" i="112"/>
  <c r="Q20" i="112"/>
  <c r="S63" i="74"/>
  <c r="R63" i="74"/>
  <c r="Q63" i="74"/>
  <c r="S123" i="73"/>
  <c r="R123" i="73"/>
  <c r="Q123" i="73"/>
  <c r="S122" i="73"/>
  <c r="R122" i="73"/>
  <c r="Q122" i="73"/>
  <c r="S121" i="73"/>
  <c r="S293" i="73" s="1"/>
  <c r="R121" i="73"/>
  <c r="Q121" i="73"/>
  <c r="S100" i="73"/>
  <c r="S98" i="73"/>
  <c r="R97" i="73"/>
  <c r="Q96" i="73"/>
  <c r="S94" i="73"/>
  <c r="R94" i="73"/>
  <c r="Q94" i="73"/>
  <c r="Q89" i="72"/>
  <c r="S81" i="72"/>
  <c r="R81" i="72"/>
  <c r="Q81" i="72"/>
  <c r="S78" i="72"/>
  <c r="R78" i="72"/>
  <c r="Q78" i="72"/>
  <c r="S112" i="71"/>
  <c r="R112" i="71"/>
  <c r="Q112" i="71"/>
  <c r="S26" i="76"/>
  <c r="R26" i="76"/>
  <c r="Q26" i="76"/>
  <c r="S25" i="76"/>
  <c r="R25" i="76"/>
  <c r="Q25" i="76"/>
  <c r="S22" i="111"/>
  <c r="R22" i="111"/>
  <c r="Q22" i="111"/>
  <c r="S21" i="111"/>
  <c r="R21" i="111"/>
  <c r="Q21" i="111"/>
  <c r="S198" i="80"/>
  <c r="R198" i="80"/>
  <c r="Q198" i="80"/>
  <c r="S61" i="80"/>
  <c r="R61" i="80"/>
  <c r="Q61" i="80"/>
  <c r="Q30" i="80"/>
  <c r="S27" i="80"/>
  <c r="R26" i="80"/>
  <c r="Q25" i="80"/>
  <c r="S23" i="80"/>
  <c r="R23" i="80"/>
  <c r="Q23" i="80"/>
  <c r="S63" i="53"/>
  <c r="R63" i="53"/>
  <c r="Q63" i="53"/>
  <c r="S62" i="53"/>
  <c r="R62" i="53"/>
  <c r="Q62" i="53"/>
  <c r="S20" i="53"/>
  <c r="S24" i="53" s="1"/>
  <c r="S224" i="53" s="1"/>
  <c r="R20" i="53"/>
  <c r="R26" i="53" s="1"/>
  <c r="R226" i="53" s="1"/>
  <c r="Q20" i="53"/>
  <c r="S131" i="22"/>
  <c r="R131" i="22"/>
  <c r="Q131" i="22"/>
  <c r="S130" i="22"/>
  <c r="R130" i="22"/>
  <c r="S129" i="22"/>
  <c r="R129" i="22"/>
  <c r="Q129" i="22"/>
  <c r="S120" i="22"/>
  <c r="R120" i="22"/>
  <c r="Q120" i="22"/>
  <c r="S119" i="22"/>
  <c r="R119" i="22"/>
  <c r="S118" i="22"/>
  <c r="R118" i="22"/>
  <c r="Q118" i="22"/>
  <c r="S109" i="22"/>
  <c r="R109" i="22"/>
  <c r="Q109" i="22"/>
  <c r="S108" i="22"/>
  <c r="R108" i="22"/>
  <c r="S107" i="22"/>
  <c r="R107" i="22"/>
  <c r="Q107" i="22"/>
  <c r="S98" i="22"/>
  <c r="R98" i="22"/>
  <c r="Q98" i="22"/>
  <c r="S97" i="22"/>
  <c r="R97" i="22"/>
  <c r="S96" i="22"/>
  <c r="R96" i="22"/>
  <c r="Q96" i="22"/>
  <c r="S83" i="22"/>
  <c r="R83" i="22"/>
  <c r="Q83" i="22"/>
  <c r="S82" i="22"/>
  <c r="R82" i="22"/>
  <c r="S81" i="22"/>
  <c r="R81" i="22"/>
  <c r="Q81" i="22"/>
  <c r="S72" i="22"/>
  <c r="R72" i="22"/>
  <c r="Q72" i="22"/>
  <c r="S71" i="22"/>
  <c r="R71" i="22"/>
  <c r="S70" i="22"/>
  <c r="R70" i="22"/>
  <c r="Q70" i="22"/>
  <c r="S61" i="22"/>
  <c r="R61" i="22"/>
  <c r="Q61" i="22"/>
  <c r="S60" i="22"/>
  <c r="R60" i="22"/>
  <c r="S59" i="22"/>
  <c r="R59" i="22"/>
  <c r="Q59" i="22"/>
  <c r="S49" i="22"/>
  <c r="R49" i="22"/>
  <c r="Q49" i="22"/>
  <c r="S48" i="22"/>
  <c r="R48" i="22"/>
  <c r="Q48" i="22"/>
  <c r="S47" i="22"/>
  <c r="R47" i="22"/>
  <c r="Q47" i="22"/>
  <c r="S46" i="22"/>
  <c r="R46" i="22"/>
  <c r="Q46" i="22"/>
  <c r="S45" i="22"/>
  <c r="R45" i="22"/>
  <c r="Q45" i="22"/>
  <c r="S43" i="22"/>
  <c r="R43" i="22"/>
  <c r="Q43" i="22"/>
  <c r="S42" i="22"/>
  <c r="R42" i="22"/>
  <c r="Q42" i="22"/>
  <c r="S41" i="22"/>
  <c r="R41" i="22"/>
  <c r="Q41" i="22"/>
  <c r="S40" i="22"/>
  <c r="R40" i="22"/>
  <c r="Q40" i="22"/>
  <c r="S39" i="22"/>
  <c r="R39" i="22"/>
  <c r="Q39" i="22"/>
  <c r="S33" i="22"/>
  <c r="R33" i="22"/>
  <c r="Q33" i="22"/>
  <c r="S32" i="22"/>
  <c r="R32" i="22"/>
  <c r="Q32" i="22"/>
  <c r="S31" i="22"/>
  <c r="R31" i="22"/>
  <c r="Q31" i="22"/>
  <c r="S30" i="22"/>
  <c r="R30" i="22"/>
  <c r="Q30" i="22"/>
  <c r="Q49" i="70"/>
  <c r="Q99" i="73" s="1"/>
  <c r="S34" i="70"/>
  <c r="S52" i="70" s="1"/>
  <c r="S120" i="71" s="1"/>
  <c r="R34" i="70"/>
  <c r="R52" i="70" s="1"/>
  <c r="R120" i="71" s="1"/>
  <c r="Q34" i="70"/>
  <c r="Q52" i="70" s="1"/>
  <c r="Q31" i="80" s="1"/>
  <c r="S33" i="70"/>
  <c r="S51" i="70" s="1"/>
  <c r="S101" i="73" s="1"/>
  <c r="R33" i="70"/>
  <c r="R51" i="70" s="1"/>
  <c r="R119" i="71" s="1"/>
  <c r="Q33" i="70"/>
  <c r="Q51" i="70" s="1"/>
  <c r="Q119" i="71" s="1"/>
  <c r="S32" i="70"/>
  <c r="S50" i="70" s="1"/>
  <c r="S29" i="80" s="1"/>
  <c r="R32" i="70"/>
  <c r="R50" i="70" s="1"/>
  <c r="R100" i="73" s="1"/>
  <c r="Q32" i="70"/>
  <c r="Q50" i="70" s="1"/>
  <c r="Q118" i="71" s="1"/>
  <c r="S31" i="70"/>
  <c r="R31" i="70"/>
  <c r="Q31" i="70"/>
  <c r="S30" i="70"/>
  <c r="S48" i="70" s="1"/>
  <c r="S85" i="72" s="1"/>
  <c r="R30" i="70"/>
  <c r="R48" i="70" s="1"/>
  <c r="R98" i="73" s="1"/>
  <c r="Q30" i="70"/>
  <c r="Q48" i="70" s="1"/>
  <c r="Q85" i="72" s="1"/>
  <c r="S29" i="70"/>
  <c r="S47" i="70" s="1"/>
  <c r="S97" i="73" s="1"/>
  <c r="R29" i="70"/>
  <c r="R47" i="70" s="1"/>
  <c r="R84" i="72" s="1"/>
  <c r="Q29" i="70"/>
  <c r="Q47" i="70" s="1"/>
  <c r="Q97" i="73" s="1"/>
  <c r="S28" i="70"/>
  <c r="S46" i="70" s="1"/>
  <c r="S83" i="72" s="1"/>
  <c r="R28" i="70"/>
  <c r="R46" i="70" s="1"/>
  <c r="R96" i="73" s="1"/>
  <c r="Q28" i="70"/>
  <c r="Q46" i="70" s="1"/>
  <c r="Q83" i="72" s="1"/>
  <c r="S27" i="70"/>
  <c r="R27" i="70"/>
  <c r="Q27" i="70"/>
  <c r="S26" i="70"/>
  <c r="R26" i="70"/>
  <c r="Q26" i="70"/>
  <c r="S25" i="70"/>
  <c r="R25" i="70"/>
  <c r="Q25" i="70"/>
  <c r="S170" i="90"/>
  <c r="R170" i="90"/>
  <c r="Q170" i="90"/>
  <c r="S169" i="90"/>
  <c r="R169" i="90"/>
  <c r="Q169" i="90"/>
  <c r="S168" i="90"/>
  <c r="R168" i="90"/>
  <c r="Q168" i="90"/>
  <c r="S167" i="90"/>
  <c r="R167" i="90"/>
  <c r="Q167" i="90"/>
  <c r="S166" i="90"/>
  <c r="R166" i="90"/>
  <c r="Q166" i="90"/>
  <c r="S119" i="71" l="1"/>
  <c r="S84" i="72"/>
  <c r="S25" i="80"/>
  <c r="Q27" i="80"/>
  <c r="Q115" i="71"/>
  <c r="R116" i="71"/>
  <c r="Q84" i="72"/>
  <c r="R85" i="72"/>
  <c r="S96" i="73"/>
  <c r="Q98" i="73"/>
  <c r="R95" i="105"/>
  <c r="R99" i="105"/>
  <c r="M64" i="31"/>
  <c r="Q62" i="31"/>
  <c r="K61" i="31"/>
  <c r="O59" i="31"/>
  <c r="S57" i="31"/>
  <c r="M56" i="31"/>
  <c r="Q54" i="31"/>
  <c r="Q76" i="31" s="1"/>
  <c r="K53" i="31"/>
  <c r="K75" i="31" s="1"/>
  <c r="O51" i="31"/>
  <c r="S49" i="31"/>
  <c r="M48" i="31"/>
  <c r="Q46" i="31"/>
  <c r="M108" i="31"/>
  <c r="Q106" i="31"/>
  <c r="K105" i="31"/>
  <c r="O103" i="31"/>
  <c r="S101" i="31"/>
  <c r="M100" i="31"/>
  <c r="Q98" i="31"/>
  <c r="Q121" i="31" s="1"/>
  <c r="K97" i="31"/>
  <c r="K120" i="31" s="1"/>
  <c r="O95" i="31"/>
  <c r="S93" i="31"/>
  <c r="M92" i="31"/>
  <c r="Q90" i="31"/>
  <c r="M38" i="23"/>
  <c r="M34" i="23"/>
  <c r="M30" i="23"/>
  <c r="M26" i="23"/>
  <c r="M22" i="23"/>
  <c r="S115" i="71"/>
  <c r="R83" i="72"/>
  <c r="Q26" i="80"/>
  <c r="R27" i="80"/>
  <c r="Q114" i="71"/>
  <c r="R115" i="71"/>
  <c r="S116" i="71"/>
  <c r="R118" i="71"/>
  <c r="S87" i="72"/>
  <c r="S63" i="31"/>
  <c r="M62" i="31"/>
  <c r="Q60" i="31"/>
  <c r="K59" i="31"/>
  <c r="O57" i="31"/>
  <c r="S55" i="31"/>
  <c r="S77" i="31" s="1"/>
  <c r="M54" i="31"/>
  <c r="Q52" i="31"/>
  <c r="K51" i="31"/>
  <c r="O49" i="31"/>
  <c r="S47" i="31"/>
  <c r="M46" i="31"/>
  <c r="S107" i="31"/>
  <c r="M106" i="31"/>
  <c r="Q104" i="31"/>
  <c r="K103" i="31"/>
  <c r="O101" i="31"/>
  <c r="S99" i="31"/>
  <c r="S122" i="31" s="1"/>
  <c r="M98" i="31"/>
  <c r="Q96" i="31"/>
  <c r="K95" i="31"/>
  <c r="O93" i="31"/>
  <c r="S91" i="31"/>
  <c r="M90" i="31"/>
  <c r="M37" i="23"/>
  <c r="M33" i="23"/>
  <c r="M29" i="23"/>
  <c r="M25" i="23"/>
  <c r="M21" i="23"/>
  <c r="Q117" i="71"/>
  <c r="Q86" i="72"/>
  <c r="R114" i="71"/>
  <c r="R49" i="70"/>
  <c r="R25" i="80"/>
  <c r="S26" i="80"/>
  <c r="Q28" i="80"/>
  <c r="R31" i="80"/>
  <c r="S114" i="71"/>
  <c r="Q116" i="71"/>
  <c r="Q102" i="73"/>
  <c r="S96" i="105"/>
  <c r="S98" i="105"/>
  <c r="S100" i="105"/>
  <c r="Q64" i="31"/>
  <c r="K63" i="31"/>
  <c r="O61" i="31"/>
  <c r="S59" i="31"/>
  <c r="M58" i="31"/>
  <c r="Q56" i="31"/>
  <c r="K55" i="31"/>
  <c r="K77" i="31" s="1"/>
  <c r="O53" i="31"/>
  <c r="S51" i="31"/>
  <c r="M50" i="31"/>
  <c r="Q48" i="31"/>
  <c r="K47" i="31"/>
  <c r="Q108" i="31"/>
  <c r="K107" i="31"/>
  <c r="O105" i="31"/>
  <c r="S103" i="31"/>
  <c r="M102" i="31"/>
  <c r="Q100" i="31"/>
  <c r="K99" i="31"/>
  <c r="K122" i="31" s="1"/>
  <c r="O97" i="31"/>
  <c r="S95" i="31"/>
  <c r="M94" i="31"/>
  <c r="Q92" i="31"/>
  <c r="K91" i="31"/>
  <c r="M39" i="23"/>
  <c r="M35" i="23"/>
  <c r="M31" i="23"/>
  <c r="M27" i="23"/>
  <c r="M23" i="23"/>
  <c r="R135" i="105"/>
  <c r="S135" i="105"/>
  <c r="Q29" i="80"/>
  <c r="R30" i="80"/>
  <c r="S31" i="80"/>
  <c r="S118" i="71"/>
  <c r="Q120" i="71"/>
  <c r="Q88" i="72"/>
  <c r="R89" i="72"/>
  <c r="Q101" i="73"/>
  <c r="R102" i="73"/>
  <c r="R29" i="80"/>
  <c r="S30" i="80"/>
  <c r="Q87" i="72"/>
  <c r="R88" i="72"/>
  <c r="S89" i="72"/>
  <c r="Q100" i="73"/>
  <c r="R101" i="73"/>
  <c r="S102" i="73"/>
  <c r="R87" i="72"/>
  <c r="S88" i="72"/>
  <c r="R94" i="105"/>
  <c r="S129" i="105"/>
  <c r="S37" i="112"/>
  <c r="Q89" i="53"/>
  <c r="R37" i="112"/>
  <c r="S158" i="105"/>
  <c r="S160" i="105" s="1"/>
  <c r="S64" i="82" s="1"/>
  <c r="R173" i="105"/>
  <c r="R158" i="105"/>
  <c r="R160" i="105" s="1"/>
  <c r="R64" i="82" s="1"/>
  <c r="R36" i="112"/>
  <c r="Q158" i="105"/>
  <c r="Q160" i="105" s="1"/>
  <c r="Q64" i="82" s="1"/>
  <c r="S89" i="53"/>
  <c r="R89" i="53"/>
  <c r="H29" i="72"/>
  <c r="H25" i="72"/>
  <c r="H28" i="72"/>
  <c r="H24" i="72"/>
  <c r="H27" i="72"/>
  <c r="H23" i="72"/>
  <c r="H30" i="72"/>
  <c r="H26" i="72"/>
  <c r="L39" i="23"/>
  <c r="L38" i="23"/>
  <c r="L37" i="23"/>
  <c r="L36" i="23"/>
  <c r="L35" i="23"/>
  <c r="L34" i="23"/>
  <c r="L33" i="23"/>
  <c r="L32" i="23"/>
  <c r="L31" i="23"/>
  <c r="L30" i="23"/>
  <c r="L29" i="23"/>
  <c r="L28" i="23"/>
  <c r="L27" i="23"/>
  <c r="L26" i="23"/>
  <c r="L25" i="23"/>
  <c r="L24" i="23"/>
  <c r="L23" i="23"/>
  <c r="L22" i="23"/>
  <c r="L21" i="23"/>
  <c r="K39" i="23"/>
  <c r="K38" i="23"/>
  <c r="K37" i="23"/>
  <c r="K36" i="23"/>
  <c r="K35" i="23"/>
  <c r="K34" i="23"/>
  <c r="K33" i="23"/>
  <c r="K32" i="23"/>
  <c r="K31" i="23"/>
  <c r="K30" i="23"/>
  <c r="K29" i="23"/>
  <c r="K28" i="23"/>
  <c r="K27" i="23"/>
  <c r="K26" i="23"/>
  <c r="K25" i="23"/>
  <c r="K24" i="23"/>
  <c r="K23" i="23"/>
  <c r="K22" i="23"/>
  <c r="K21" i="23"/>
  <c r="J39" i="23"/>
  <c r="J38" i="23"/>
  <c r="J37" i="23"/>
  <c r="J36" i="23"/>
  <c r="J35" i="23"/>
  <c r="J34" i="23"/>
  <c r="J33" i="23"/>
  <c r="J32" i="23"/>
  <c r="J31" i="23"/>
  <c r="J30" i="23"/>
  <c r="J29" i="23"/>
  <c r="J28" i="23"/>
  <c r="J27" i="23"/>
  <c r="J26" i="23"/>
  <c r="J25" i="23"/>
  <c r="J24" i="23"/>
  <c r="J23" i="23"/>
  <c r="J22" i="23"/>
  <c r="P108" i="31"/>
  <c r="L108" i="31"/>
  <c r="R107" i="31"/>
  <c r="N107" i="31"/>
  <c r="J107" i="31"/>
  <c r="P106" i="31"/>
  <c r="L106" i="31"/>
  <c r="R105" i="31"/>
  <c r="N105" i="31"/>
  <c r="J105" i="31"/>
  <c r="P104" i="31"/>
  <c r="L104" i="31"/>
  <c r="R103" i="31"/>
  <c r="N103" i="31"/>
  <c r="J103" i="31"/>
  <c r="P102" i="31"/>
  <c r="L102" i="31"/>
  <c r="R101" i="31"/>
  <c r="N101" i="31"/>
  <c r="J101" i="31"/>
  <c r="P100" i="31"/>
  <c r="L100" i="31"/>
  <c r="R99" i="31"/>
  <c r="R122" i="31" s="1"/>
  <c r="N99" i="31"/>
  <c r="J99" i="31"/>
  <c r="J122" i="31" s="1"/>
  <c r="P98" i="31"/>
  <c r="L98" i="31"/>
  <c r="L121" i="31" s="1"/>
  <c r="R97" i="31"/>
  <c r="R120" i="31" s="1"/>
  <c r="N97" i="31"/>
  <c r="J97" i="31"/>
  <c r="J120" i="31" s="1"/>
  <c r="P96" i="31"/>
  <c r="L96" i="31"/>
  <c r="R95" i="31"/>
  <c r="N95" i="31"/>
  <c r="J95" i="31"/>
  <c r="P94" i="31"/>
  <c r="L94" i="31"/>
  <c r="R93" i="31"/>
  <c r="N93" i="31"/>
  <c r="J93" i="31"/>
  <c r="P92" i="31"/>
  <c r="L92" i="31"/>
  <c r="R91" i="31"/>
  <c r="N91" i="31"/>
  <c r="J91" i="31"/>
  <c r="P90" i="31"/>
  <c r="L90" i="31"/>
  <c r="S108" i="31"/>
  <c r="O108" i="31"/>
  <c r="K108" i="31"/>
  <c r="Q107" i="31"/>
  <c r="M107" i="31"/>
  <c r="S106" i="31"/>
  <c r="O106" i="31"/>
  <c r="K106" i="31"/>
  <c r="Q105" i="31"/>
  <c r="M105" i="31"/>
  <c r="S104" i="31"/>
  <c r="O104" i="31"/>
  <c r="K104" i="31"/>
  <c r="Q103" i="31"/>
  <c r="M103" i="31"/>
  <c r="S102" i="31"/>
  <c r="O102" i="31"/>
  <c r="K102" i="31"/>
  <c r="Q101" i="31"/>
  <c r="M101" i="31"/>
  <c r="S100" i="31"/>
  <c r="O100" i="31"/>
  <c r="K100" i="31"/>
  <c r="Q99" i="31"/>
  <c r="Q122" i="31" s="1"/>
  <c r="M99" i="31"/>
  <c r="S98" i="31"/>
  <c r="S121" i="31" s="1"/>
  <c r="O98" i="31"/>
  <c r="K98" i="31"/>
  <c r="K121" i="31" s="1"/>
  <c r="Q97" i="31"/>
  <c r="Q120" i="31" s="1"/>
  <c r="M97" i="31"/>
  <c r="S96" i="31"/>
  <c r="O96" i="31"/>
  <c r="K96" i="31"/>
  <c r="Q95" i="31"/>
  <c r="M95" i="31"/>
  <c r="S94" i="31"/>
  <c r="O94" i="31"/>
  <c r="K94" i="31"/>
  <c r="Q93" i="31"/>
  <c r="M93" i="31"/>
  <c r="S92" i="31"/>
  <c r="O92" i="31"/>
  <c r="K92" i="31"/>
  <c r="Q91" i="31"/>
  <c r="M91" i="31"/>
  <c r="S90" i="31"/>
  <c r="O90" i="31"/>
  <c r="K90" i="31"/>
  <c r="R108" i="31"/>
  <c r="N108" i="31"/>
  <c r="J108" i="31"/>
  <c r="P107" i="31"/>
  <c r="L107" i="31"/>
  <c r="R106" i="31"/>
  <c r="N106" i="31"/>
  <c r="J106" i="31"/>
  <c r="P105" i="31"/>
  <c r="L105" i="31"/>
  <c r="R104" i="31"/>
  <c r="N104" i="31"/>
  <c r="J104" i="31"/>
  <c r="P103" i="31"/>
  <c r="L103" i="31"/>
  <c r="R102" i="31"/>
  <c r="N102" i="31"/>
  <c r="J102" i="31"/>
  <c r="P101" i="31"/>
  <c r="L101" i="31"/>
  <c r="R100" i="31"/>
  <c r="N100" i="31"/>
  <c r="J100" i="31"/>
  <c r="P99" i="31"/>
  <c r="L99" i="31"/>
  <c r="L122" i="31" s="1"/>
  <c r="R98" i="31"/>
  <c r="R121" i="31" s="1"/>
  <c r="N98" i="31"/>
  <c r="J98" i="31"/>
  <c r="J121" i="31" s="1"/>
  <c r="P97" i="31"/>
  <c r="L97" i="31"/>
  <c r="L120" i="31" s="1"/>
  <c r="R96" i="31"/>
  <c r="N96" i="31"/>
  <c r="J96" i="31"/>
  <c r="P95" i="31"/>
  <c r="L95" i="31"/>
  <c r="R94" i="31"/>
  <c r="N94" i="31"/>
  <c r="J94" i="31"/>
  <c r="P93" i="31"/>
  <c r="L93" i="31"/>
  <c r="R92" i="31"/>
  <c r="N92" i="31"/>
  <c r="J92" i="31"/>
  <c r="P91" i="31"/>
  <c r="L91" i="31"/>
  <c r="R90" i="31"/>
  <c r="N90" i="31"/>
  <c r="P64" i="31"/>
  <c r="L64" i="31"/>
  <c r="R63" i="31"/>
  <c r="N63" i="31"/>
  <c r="J63" i="31"/>
  <c r="P62" i="31"/>
  <c r="L62" i="31"/>
  <c r="R61" i="31"/>
  <c r="N61" i="31"/>
  <c r="J61" i="31"/>
  <c r="P60" i="31"/>
  <c r="L60" i="31"/>
  <c r="R59" i="31"/>
  <c r="N59" i="31"/>
  <c r="J59" i="31"/>
  <c r="P58" i="31"/>
  <c r="L58" i="31"/>
  <c r="R57" i="31"/>
  <c r="N57" i="31"/>
  <c r="J57" i="31"/>
  <c r="P56" i="31"/>
  <c r="L56" i="31"/>
  <c r="R55" i="31"/>
  <c r="R77" i="31" s="1"/>
  <c r="N55" i="31"/>
  <c r="J55" i="31"/>
  <c r="J77" i="31" s="1"/>
  <c r="P54" i="31"/>
  <c r="L54" i="31"/>
  <c r="L76" i="31" s="1"/>
  <c r="R53" i="31"/>
  <c r="R75" i="31" s="1"/>
  <c r="N53" i="31"/>
  <c r="J53" i="31"/>
  <c r="J75" i="31" s="1"/>
  <c r="P52" i="31"/>
  <c r="L52" i="31"/>
  <c r="R51" i="31"/>
  <c r="N51" i="31"/>
  <c r="J51" i="31"/>
  <c r="P50" i="31"/>
  <c r="L50" i="31"/>
  <c r="R49" i="31"/>
  <c r="N49" i="31"/>
  <c r="J49" i="31"/>
  <c r="P48" i="31"/>
  <c r="L48" i="31"/>
  <c r="R47" i="31"/>
  <c r="N47" i="31"/>
  <c r="J47" i="31"/>
  <c r="P46" i="31"/>
  <c r="L46" i="31"/>
  <c r="S64" i="31"/>
  <c r="O64" i="31"/>
  <c r="K64" i="31"/>
  <c r="Q63" i="31"/>
  <c r="M63" i="31"/>
  <c r="S62" i="31"/>
  <c r="O62" i="31"/>
  <c r="K62" i="31"/>
  <c r="Q61" i="31"/>
  <c r="M61" i="31"/>
  <c r="S60" i="31"/>
  <c r="O60" i="31"/>
  <c r="K60" i="31"/>
  <c r="Q59" i="31"/>
  <c r="M59" i="31"/>
  <c r="S58" i="31"/>
  <c r="O58" i="31"/>
  <c r="K58" i="31"/>
  <c r="Q57" i="31"/>
  <c r="M57" i="31"/>
  <c r="S56" i="31"/>
  <c r="O56" i="31"/>
  <c r="K56" i="31"/>
  <c r="Q55" i="31"/>
  <c r="Q77" i="31" s="1"/>
  <c r="M55" i="31"/>
  <c r="S54" i="31"/>
  <c r="S76" i="31" s="1"/>
  <c r="O54" i="31"/>
  <c r="K54" i="31"/>
  <c r="K76" i="31" s="1"/>
  <c r="Q53" i="31"/>
  <c r="Q75" i="31" s="1"/>
  <c r="M53" i="31"/>
  <c r="S52" i="31"/>
  <c r="O52" i="31"/>
  <c r="K52" i="31"/>
  <c r="Q51" i="31"/>
  <c r="M51" i="31"/>
  <c r="S50" i="31"/>
  <c r="O50" i="31"/>
  <c r="K50" i="31"/>
  <c r="Q49" i="31"/>
  <c r="M49" i="31"/>
  <c r="S48" i="31"/>
  <c r="O48" i="31"/>
  <c r="K48" i="31"/>
  <c r="Q47" i="31"/>
  <c r="M47" i="31"/>
  <c r="S46" i="31"/>
  <c r="O46" i="31"/>
  <c r="K46" i="31"/>
  <c r="R64" i="31"/>
  <c r="N64" i="31"/>
  <c r="J64" i="31"/>
  <c r="P63" i="31"/>
  <c r="L63" i="31"/>
  <c r="R62" i="31"/>
  <c r="N62" i="31"/>
  <c r="J62" i="31"/>
  <c r="P61" i="31"/>
  <c r="L61" i="31"/>
  <c r="R60" i="31"/>
  <c r="N60" i="31"/>
  <c r="J60" i="31"/>
  <c r="P59" i="31"/>
  <c r="L59" i="31"/>
  <c r="R58" i="31"/>
  <c r="N58" i="31"/>
  <c r="J58" i="31"/>
  <c r="P57" i="31"/>
  <c r="L57" i="31"/>
  <c r="R56" i="31"/>
  <c r="N56" i="31"/>
  <c r="J56" i="31"/>
  <c r="P55" i="31"/>
  <c r="L55" i="31"/>
  <c r="L77" i="31" s="1"/>
  <c r="R54" i="31"/>
  <c r="R76" i="31" s="1"/>
  <c r="N54" i="31"/>
  <c r="J54" i="31"/>
  <c r="J76" i="31" s="1"/>
  <c r="P53" i="31"/>
  <c r="L53" i="31"/>
  <c r="L75" i="31" s="1"/>
  <c r="R52" i="31"/>
  <c r="N52" i="31"/>
  <c r="J52" i="31"/>
  <c r="P51" i="31"/>
  <c r="L51" i="31"/>
  <c r="R50" i="31"/>
  <c r="N50" i="31"/>
  <c r="J50" i="31"/>
  <c r="P49" i="31"/>
  <c r="L49" i="31"/>
  <c r="R48" i="31"/>
  <c r="N48" i="31"/>
  <c r="J48" i="31"/>
  <c r="P47" i="31"/>
  <c r="L47" i="31"/>
  <c r="R46" i="31"/>
  <c r="N46" i="31"/>
  <c r="S136" i="105"/>
  <c r="S174" i="105"/>
  <c r="S94" i="105"/>
  <c r="S101" i="105" s="1"/>
  <c r="R97" i="105"/>
  <c r="R101" i="105" s="1"/>
  <c r="R172" i="105"/>
  <c r="S173" i="105"/>
  <c r="R176" i="105"/>
  <c r="S170" i="105"/>
  <c r="R171" i="105"/>
  <c r="S172" i="105"/>
  <c r="R175" i="105"/>
  <c r="S176" i="105"/>
  <c r="R170" i="105"/>
  <c r="S171" i="105"/>
  <c r="R174" i="105"/>
  <c r="S175" i="105"/>
  <c r="S36" i="112"/>
  <c r="Q293" i="73"/>
  <c r="R293" i="73"/>
  <c r="Q25" i="53"/>
  <c r="Q225" i="53" s="1"/>
  <c r="R25" i="53"/>
  <c r="R225" i="53" s="1"/>
  <c r="S26" i="53"/>
  <c r="S226" i="53" s="1"/>
  <c r="S25" i="53"/>
  <c r="S225" i="53" s="1"/>
  <c r="Q24" i="53"/>
  <c r="Q224" i="53" s="1"/>
  <c r="R24" i="53"/>
  <c r="R224" i="53" s="1"/>
  <c r="Q26" i="53"/>
  <c r="Q226" i="53" s="1"/>
  <c r="S49" i="70"/>
  <c r="R86" i="72" l="1"/>
  <c r="R117" i="71"/>
  <c r="R99" i="73"/>
  <c r="R28" i="80"/>
  <c r="S99" i="73"/>
  <c r="S28" i="80"/>
  <c r="S86" i="72"/>
  <c r="S117" i="71"/>
  <c r="S177" i="105"/>
  <c r="R177" i="105"/>
  <c r="AB23" i="112"/>
  <c r="AA23" i="112"/>
  <c r="Z23" i="112"/>
  <c r="Y23" i="112"/>
  <c r="X23" i="112"/>
  <c r="W23" i="112"/>
  <c r="V23" i="112"/>
  <c r="U23" i="112"/>
  <c r="T23" i="112"/>
  <c r="P23" i="112"/>
  <c r="O23" i="112"/>
  <c r="N23" i="112"/>
  <c r="M23" i="112"/>
  <c r="L23" i="112"/>
  <c r="K23" i="112"/>
  <c r="J23" i="112"/>
  <c r="H31" i="112" l="1"/>
  <c r="H30" i="112"/>
  <c r="J20" i="112" l="1"/>
  <c r="H41" i="41"/>
  <c r="H40" i="41"/>
  <c r="K26" i="112"/>
  <c r="L26" i="112"/>
  <c r="M26" i="112"/>
  <c r="N26" i="112"/>
  <c r="O26" i="112"/>
  <c r="P26" i="112"/>
  <c r="T26" i="112"/>
  <c r="U26" i="112"/>
  <c r="V26" i="112"/>
  <c r="W26" i="112"/>
  <c r="X26" i="112"/>
  <c r="Y26" i="112"/>
  <c r="Z26" i="112"/>
  <c r="AA26" i="112"/>
  <c r="AB26" i="112"/>
  <c r="K27" i="112"/>
  <c r="L27" i="112"/>
  <c r="M27" i="112"/>
  <c r="N27" i="112"/>
  <c r="O27" i="112"/>
  <c r="P27" i="112"/>
  <c r="T27" i="112"/>
  <c r="U27" i="112"/>
  <c r="V27" i="112"/>
  <c r="W27" i="112"/>
  <c r="X27" i="112"/>
  <c r="Y27" i="112"/>
  <c r="Z27" i="112"/>
  <c r="AA27" i="112"/>
  <c r="AB27" i="112"/>
  <c r="J27" i="112"/>
  <c r="J26" i="112"/>
  <c r="AB22" i="112"/>
  <c r="AA22" i="112"/>
  <c r="Z22" i="112"/>
  <c r="Y22" i="112"/>
  <c r="X22" i="112"/>
  <c r="W22" i="112"/>
  <c r="V22" i="112"/>
  <c r="U22" i="112"/>
  <c r="T22" i="112"/>
  <c r="P22" i="112"/>
  <c r="O22" i="112"/>
  <c r="N22" i="112"/>
  <c r="M22" i="112"/>
  <c r="L22" i="112"/>
  <c r="K22" i="112"/>
  <c r="J22" i="112"/>
  <c r="AB21" i="112"/>
  <c r="AA21" i="112"/>
  <c r="Z21" i="112"/>
  <c r="Y21" i="112"/>
  <c r="X21" i="112"/>
  <c r="W21" i="112"/>
  <c r="V21" i="112"/>
  <c r="U21" i="112"/>
  <c r="T21" i="112"/>
  <c r="P21" i="112"/>
  <c r="O21" i="112"/>
  <c r="M21" i="112"/>
  <c r="L21" i="112"/>
  <c r="K21" i="112"/>
  <c r="J21" i="112"/>
  <c r="AB20" i="112"/>
  <c r="AA20" i="112"/>
  <c r="Z20" i="112"/>
  <c r="Y20" i="112"/>
  <c r="X20" i="112"/>
  <c r="W20" i="112"/>
  <c r="V20" i="112"/>
  <c r="U20" i="112"/>
  <c r="T20" i="112"/>
  <c r="P20" i="112"/>
  <c r="O20" i="112"/>
  <c r="N20" i="112"/>
  <c r="M20" i="112"/>
  <c r="L20" i="112"/>
  <c r="K20" i="112"/>
  <c r="A2" i="112"/>
  <c r="A1" i="112"/>
  <c r="C16" i="112" s="1"/>
  <c r="G186" i="85" s="1"/>
  <c r="Y45" i="112" l="1"/>
  <c r="Y37" i="112"/>
  <c r="M44" i="112"/>
  <c r="M36" i="112"/>
  <c r="X45" i="112"/>
  <c r="X37" i="112"/>
  <c r="M37" i="112"/>
  <c r="M45" i="112"/>
  <c r="W44" i="112"/>
  <c r="W36" i="112"/>
  <c r="L36" i="112"/>
  <c r="L44" i="112"/>
  <c r="W37" i="112"/>
  <c r="W45" i="112"/>
  <c r="L37" i="112"/>
  <c r="V44" i="112"/>
  <c r="V36" i="112"/>
  <c r="K44" i="112"/>
  <c r="K36" i="112"/>
  <c r="J36" i="112"/>
  <c r="V37" i="112"/>
  <c r="V45" i="112"/>
  <c r="K45" i="112"/>
  <c r="K37" i="112"/>
  <c r="U36" i="112"/>
  <c r="U44" i="112"/>
  <c r="J37" i="112"/>
  <c r="U37" i="112"/>
  <c r="U45" i="112"/>
  <c r="AB36" i="112"/>
  <c r="AB44" i="112"/>
  <c r="T36" i="112"/>
  <c r="T44" i="112"/>
  <c r="AB37" i="112"/>
  <c r="AB45" i="112"/>
  <c r="P44" i="112"/>
  <c r="P36" i="112"/>
  <c r="AA45" i="112"/>
  <c r="AA37" i="112"/>
  <c r="P37" i="112"/>
  <c r="Z44" i="112"/>
  <c r="Z36" i="112"/>
  <c r="O44" i="112"/>
  <c r="O36" i="112"/>
  <c r="X36" i="112"/>
  <c r="X44" i="112"/>
  <c r="T37" i="112"/>
  <c r="T45" i="112"/>
  <c r="AA44" i="112"/>
  <c r="AA36" i="112"/>
  <c r="Z45" i="112"/>
  <c r="Z37" i="112"/>
  <c r="O37" i="112"/>
  <c r="Y44" i="112"/>
  <c r="Y36" i="112"/>
  <c r="N44" i="112"/>
  <c r="C33" i="112"/>
  <c r="G187" i="85" s="1"/>
  <c r="C48" i="112"/>
  <c r="G188" i="85" s="1"/>
  <c r="Y46" i="112" l="1"/>
  <c r="Y50" i="112" s="1"/>
  <c r="X46" i="112"/>
  <c r="X50" i="112" s="1"/>
  <c r="Z46" i="112"/>
  <c r="Z50" i="112" s="1"/>
  <c r="AA46" i="112"/>
  <c r="AA50" i="112" s="1"/>
  <c r="K46" i="112"/>
  <c r="K50" i="112" s="1"/>
  <c r="T46" i="112"/>
  <c r="T50" i="112" s="1"/>
  <c r="U46" i="112"/>
  <c r="U50" i="112" s="1"/>
  <c r="M46" i="112"/>
  <c r="M50" i="112" s="1"/>
  <c r="AB46" i="112"/>
  <c r="AB50" i="112" s="1"/>
  <c r="V46" i="112"/>
  <c r="V50" i="112" s="1"/>
  <c r="W46" i="112"/>
  <c r="W50" i="112" s="1"/>
  <c r="H23" i="81"/>
  <c r="M38" i="53" l="1"/>
  <c r="L38" i="53"/>
  <c r="K38" i="53"/>
  <c r="J38" i="53"/>
  <c r="BN103" i="41" l="1"/>
  <c r="BM103" i="41"/>
  <c r="BL103" i="41"/>
  <c r="BK103" i="41"/>
  <c r="BJ103" i="41"/>
  <c r="BI103" i="41"/>
  <c r="BH103" i="41"/>
  <c r="BG103" i="41"/>
  <c r="AU103" i="41"/>
  <c r="AT103" i="41"/>
  <c r="AS103" i="41"/>
  <c r="AR103" i="41"/>
  <c r="AQ103" i="41"/>
  <c r="AP103" i="41"/>
  <c r="AO103" i="41"/>
  <c r="AN103" i="41"/>
  <c r="AB156" i="105" l="1"/>
  <c r="AA156" i="105"/>
  <c r="Z156" i="105"/>
  <c r="Y156" i="105"/>
  <c r="X156" i="105"/>
  <c r="W156" i="105"/>
  <c r="V156" i="105"/>
  <c r="U156" i="105"/>
  <c r="T156" i="105"/>
  <c r="P156" i="105"/>
  <c r="O156" i="105"/>
  <c r="N156" i="105"/>
  <c r="M156" i="105"/>
  <c r="L156" i="105"/>
  <c r="K156" i="105"/>
  <c r="J68" i="31" l="1"/>
  <c r="AB149" i="105"/>
  <c r="AA149" i="105"/>
  <c r="Z149" i="105"/>
  <c r="Y149" i="105"/>
  <c r="X149" i="105"/>
  <c r="W149" i="105"/>
  <c r="V149" i="105"/>
  <c r="U149" i="105"/>
  <c r="T149" i="105"/>
  <c r="P149" i="105"/>
  <c r="O149" i="105"/>
  <c r="N149" i="105"/>
  <c r="M149" i="105"/>
  <c r="L149" i="105"/>
  <c r="K149" i="105"/>
  <c r="J149" i="105"/>
  <c r="AB148" i="105"/>
  <c r="AA148" i="105"/>
  <c r="Z148" i="105"/>
  <c r="Y148" i="105"/>
  <c r="X148" i="105"/>
  <c r="W148" i="105"/>
  <c r="V148" i="105"/>
  <c r="U148" i="105"/>
  <c r="T148" i="105"/>
  <c r="P148" i="105"/>
  <c r="O148" i="105"/>
  <c r="N148" i="105"/>
  <c r="M148" i="105"/>
  <c r="L148" i="105"/>
  <c r="K148" i="105"/>
  <c r="J148" i="105"/>
  <c r="AB147" i="105"/>
  <c r="AA147" i="105"/>
  <c r="Z147" i="105"/>
  <c r="Y147" i="105"/>
  <c r="X147" i="105"/>
  <c r="W147" i="105"/>
  <c r="V147" i="105"/>
  <c r="U147" i="105"/>
  <c r="T147" i="105"/>
  <c r="P147" i="105"/>
  <c r="O147" i="105"/>
  <c r="N147" i="105"/>
  <c r="M147" i="105"/>
  <c r="L147" i="105"/>
  <c r="K147" i="105"/>
  <c r="J147" i="105"/>
  <c r="AB146" i="105"/>
  <c r="AA146" i="105"/>
  <c r="Z146" i="105"/>
  <c r="Y146" i="105"/>
  <c r="X146" i="105"/>
  <c r="W146" i="105"/>
  <c r="V146" i="105"/>
  <c r="U146" i="105"/>
  <c r="T146" i="105"/>
  <c r="P146" i="105"/>
  <c r="O146" i="105"/>
  <c r="N146" i="105"/>
  <c r="M146" i="105"/>
  <c r="L146" i="105"/>
  <c r="K146" i="105"/>
  <c r="J146" i="105"/>
  <c r="AB145" i="105"/>
  <c r="AA145" i="105"/>
  <c r="Z145" i="105"/>
  <c r="Y145" i="105"/>
  <c r="X145" i="105"/>
  <c r="W145" i="105"/>
  <c r="V145" i="105"/>
  <c r="U145" i="105"/>
  <c r="T145" i="105"/>
  <c r="P145" i="105"/>
  <c r="O145" i="105"/>
  <c r="N145" i="105"/>
  <c r="M145" i="105"/>
  <c r="L145" i="105"/>
  <c r="K145" i="105"/>
  <c r="J145" i="105"/>
  <c r="AB144" i="105"/>
  <c r="AA144" i="105"/>
  <c r="Z144" i="105"/>
  <c r="Y144" i="105"/>
  <c r="X144" i="105"/>
  <c r="W144" i="105"/>
  <c r="V144" i="105"/>
  <c r="U144" i="105"/>
  <c r="T144" i="105"/>
  <c r="P144" i="105"/>
  <c r="O144" i="105"/>
  <c r="N144" i="105"/>
  <c r="M144" i="105"/>
  <c r="L144" i="105"/>
  <c r="K144" i="105"/>
  <c r="J144" i="105"/>
  <c r="AB143" i="105"/>
  <c r="AA143" i="105"/>
  <c r="Z143" i="105"/>
  <c r="Y143" i="105"/>
  <c r="X143" i="105"/>
  <c r="W143" i="105"/>
  <c r="V143" i="105"/>
  <c r="U143" i="105"/>
  <c r="T143" i="105"/>
  <c r="P143" i="105"/>
  <c r="O143" i="105"/>
  <c r="N143" i="105"/>
  <c r="M143" i="105"/>
  <c r="L143" i="105"/>
  <c r="K143" i="105"/>
  <c r="J143" i="105"/>
  <c r="AB69" i="105"/>
  <c r="Z69" i="105"/>
  <c r="X69" i="105"/>
  <c r="AB68" i="105"/>
  <c r="Z68" i="105"/>
  <c r="X68" i="105"/>
  <c r="AB67" i="105"/>
  <c r="Z67" i="105"/>
  <c r="X67" i="105"/>
  <c r="AB66" i="105"/>
  <c r="Z66" i="105"/>
  <c r="X66" i="105"/>
  <c r="AB65" i="105"/>
  <c r="Z65" i="105"/>
  <c r="X65" i="105"/>
  <c r="AB64" i="105"/>
  <c r="Z64" i="105"/>
  <c r="X64" i="105"/>
  <c r="AB63" i="105"/>
  <c r="Z63" i="105"/>
  <c r="X63" i="105"/>
  <c r="AB60" i="105"/>
  <c r="AA60" i="105"/>
  <c r="Z60" i="105"/>
  <c r="Y60" i="105"/>
  <c r="X60" i="105"/>
  <c r="V60" i="105"/>
  <c r="P60" i="105"/>
  <c r="O60" i="105"/>
  <c r="AB59" i="105"/>
  <c r="AA59" i="105"/>
  <c r="Z59" i="105"/>
  <c r="Y59" i="105"/>
  <c r="X59" i="105"/>
  <c r="V59" i="105"/>
  <c r="P59" i="105"/>
  <c r="O59" i="105"/>
  <c r="AB58" i="105"/>
  <c r="AA58" i="105"/>
  <c r="Z58" i="105"/>
  <c r="Y58" i="105"/>
  <c r="X58" i="105"/>
  <c r="V58" i="105"/>
  <c r="P58" i="105"/>
  <c r="O58" i="105"/>
  <c r="AB57" i="105"/>
  <c r="AA57" i="105"/>
  <c r="Z57" i="105"/>
  <c r="Y57" i="105"/>
  <c r="X57" i="105"/>
  <c r="V57" i="105"/>
  <c r="P57" i="105"/>
  <c r="O57" i="105"/>
  <c r="AB56" i="105"/>
  <c r="AA56" i="105"/>
  <c r="Z56" i="105"/>
  <c r="Y56" i="105"/>
  <c r="X56" i="105"/>
  <c r="V56" i="105"/>
  <c r="P56" i="105"/>
  <c r="O56" i="105"/>
  <c r="AB55" i="105"/>
  <c r="AA55" i="105"/>
  <c r="Z55" i="105"/>
  <c r="Y55" i="105"/>
  <c r="X55" i="105"/>
  <c r="V55" i="105"/>
  <c r="P55" i="105"/>
  <c r="O55" i="105"/>
  <c r="AB54" i="105"/>
  <c r="AA54" i="105"/>
  <c r="Z54" i="105"/>
  <c r="Y54" i="105"/>
  <c r="X54" i="105"/>
  <c r="V54" i="105"/>
  <c r="P54" i="105"/>
  <c r="O54" i="105"/>
  <c r="AB40" i="105"/>
  <c r="AA40" i="105"/>
  <c r="Z40" i="105"/>
  <c r="Y40" i="105"/>
  <c r="X40" i="105"/>
  <c r="W40" i="105"/>
  <c r="V40" i="105"/>
  <c r="U40" i="105"/>
  <c r="T40" i="105"/>
  <c r="P40" i="105"/>
  <c r="O40" i="105"/>
  <c r="N40" i="105"/>
  <c r="M40" i="105"/>
  <c r="L40" i="105"/>
  <c r="K40" i="105"/>
  <c r="J40" i="105"/>
  <c r="AB39" i="105"/>
  <c r="AA39" i="105"/>
  <c r="Z39" i="105"/>
  <c r="Y39" i="105"/>
  <c r="X39" i="105"/>
  <c r="W39" i="105"/>
  <c r="V39" i="105"/>
  <c r="U39" i="105"/>
  <c r="T39" i="105"/>
  <c r="P39" i="105"/>
  <c r="O39" i="105"/>
  <c r="N39" i="105"/>
  <c r="M39" i="105"/>
  <c r="L39" i="105"/>
  <c r="K39" i="105"/>
  <c r="J39" i="105"/>
  <c r="AB38" i="105"/>
  <c r="AA38" i="105"/>
  <c r="Z38" i="105"/>
  <c r="Y38" i="105"/>
  <c r="X38" i="105"/>
  <c r="W38" i="105"/>
  <c r="V38" i="105"/>
  <c r="U38" i="105"/>
  <c r="T38" i="105"/>
  <c r="P38" i="105"/>
  <c r="O38" i="105"/>
  <c r="N38" i="105"/>
  <c r="M38" i="105"/>
  <c r="L38" i="105"/>
  <c r="K38" i="105"/>
  <c r="J38" i="105"/>
  <c r="AB37" i="105"/>
  <c r="AA37" i="105"/>
  <c r="Z37" i="105"/>
  <c r="Y37" i="105"/>
  <c r="X37" i="105"/>
  <c r="W37" i="105"/>
  <c r="V37" i="105"/>
  <c r="U37" i="105"/>
  <c r="T37" i="105"/>
  <c r="P37" i="105"/>
  <c r="O37" i="105"/>
  <c r="N37" i="105"/>
  <c r="M37" i="105"/>
  <c r="L37" i="105"/>
  <c r="K37" i="105"/>
  <c r="J37" i="105"/>
  <c r="AB36" i="105"/>
  <c r="AA36" i="105"/>
  <c r="Z36" i="105"/>
  <c r="Y36" i="105"/>
  <c r="X36" i="105"/>
  <c r="W36" i="105"/>
  <c r="V36" i="105"/>
  <c r="U36" i="105"/>
  <c r="T36" i="105"/>
  <c r="P36" i="105"/>
  <c r="O36" i="105"/>
  <c r="N36" i="105"/>
  <c r="M36" i="105"/>
  <c r="L36" i="105"/>
  <c r="K36" i="105"/>
  <c r="J36" i="105"/>
  <c r="AB35" i="105"/>
  <c r="AA35" i="105"/>
  <c r="Z35" i="105"/>
  <c r="Y35" i="105"/>
  <c r="X35" i="105"/>
  <c r="W35" i="105"/>
  <c r="V35" i="105"/>
  <c r="U35" i="105"/>
  <c r="T35" i="105"/>
  <c r="P35" i="105"/>
  <c r="O35" i="105"/>
  <c r="N35" i="105"/>
  <c r="M35" i="105"/>
  <c r="L35" i="105"/>
  <c r="K35" i="105"/>
  <c r="J35" i="105"/>
  <c r="AB34" i="105"/>
  <c r="AA34" i="105"/>
  <c r="Z34" i="105"/>
  <c r="Y34" i="105"/>
  <c r="X34" i="105"/>
  <c r="W34" i="105"/>
  <c r="V34" i="105"/>
  <c r="U34" i="105"/>
  <c r="T34" i="105"/>
  <c r="P34" i="105"/>
  <c r="O34" i="105"/>
  <c r="N34" i="105"/>
  <c r="M34" i="105"/>
  <c r="L34" i="105"/>
  <c r="K34" i="105"/>
  <c r="J34" i="105"/>
  <c r="AB31" i="105"/>
  <c r="AA31" i="105"/>
  <c r="Z31" i="105"/>
  <c r="Y31" i="105"/>
  <c r="X31" i="105"/>
  <c r="W31" i="105"/>
  <c r="V31" i="105"/>
  <c r="U31" i="105"/>
  <c r="T31" i="105"/>
  <c r="P31" i="105"/>
  <c r="O31" i="105"/>
  <c r="M31" i="105"/>
  <c r="L31" i="105"/>
  <c r="K31" i="105"/>
  <c r="J31" i="105"/>
  <c r="AB30" i="105"/>
  <c r="AA30" i="105"/>
  <c r="Z30" i="105"/>
  <c r="Y30" i="105"/>
  <c r="X30" i="105"/>
  <c r="W30" i="105"/>
  <c r="V30" i="105"/>
  <c r="U30" i="105"/>
  <c r="T30" i="105"/>
  <c r="P30" i="105"/>
  <c r="O30" i="105"/>
  <c r="M30" i="105"/>
  <c r="L30" i="105"/>
  <c r="K30" i="105"/>
  <c r="J30" i="105"/>
  <c r="AB29" i="105"/>
  <c r="AA29" i="105"/>
  <c r="Z29" i="105"/>
  <c r="Y29" i="105"/>
  <c r="X29" i="105"/>
  <c r="W29" i="105"/>
  <c r="V29" i="105"/>
  <c r="U29" i="105"/>
  <c r="T29" i="105"/>
  <c r="P29" i="105"/>
  <c r="O29" i="105"/>
  <c r="M29" i="105"/>
  <c r="L29" i="105"/>
  <c r="K29" i="105"/>
  <c r="J29" i="105"/>
  <c r="AB28" i="105"/>
  <c r="AA28" i="105"/>
  <c r="Z28" i="105"/>
  <c r="Y28" i="105"/>
  <c r="X28" i="105"/>
  <c r="W28" i="105"/>
  <c r="V28" i="105"/>
  <c r="U28" i="105"/>
  <c r="T28" i="105"/>
  <c r="P28" i="105"/>
  <c r="O28" i="105"/>
  <c r="M28" i="105"/>
  <c r="L28" i="105"/>
  <c r="K28" i="105"/>
  <c r="J28" i="105"/>
  <c r="AB27" i="105"/>
  <c r="AA27" i="105"/>
  <c r="Z27" i="105"/>
  <c r="Y27" i="105"/>
  <c r="X27" i="105"/>
  <c r="W27" i="105"/>
  <c r="V27" i="105"/>
  <c r="U27" i="105"/>
  <c r="T27" i="105"/>
  <c r="P27" i="105"/>
  <c r="O27" i="105"/>
  <c r="M27" i="105"/>
  <c r="L27" i="105"/>
  <c r="K27" i="105"/>
  <c r="J27" i="105"/>
  <c r="AB26" i="105"/>
  <c r="AA26" i="105"/>
  <c r="Z26" i="105"/>
  <c r="Y26" i="105"/>
  <c r="X26" i="105"/>
  <c r="W26" i="105"/>
  <c r="V26" i="105"/>
  <c r="U26" i="105"/>
  <c r="T26" i="105"/>
  <c r="P26" i="105"/>
  <c r="O26" i="105"/>
  <c r="M26" i="105"/>
  <c r="L26" i="105"/>
  <c r="K26" i="105"/>
  <c r="J26" i="105"/>
  <c r="AB25" i="105"/>
  <c r="AA25" i="105"/>
  <c r="Z25" i="105"/>
  <c r="Y25" i="105"/>
  <c r="X25" i="105"/>
  <c r="W25" i="105"/>
  <c r="V25" i="105"/>
  <c r="U25" i="105"/>
  <c r="T25" i="105"/>
  <c r="P25" i="105"/>
  <c r="O25" i="105"/>
  <c r="M25" i="105"/>
  <c r="L25" i="105"/>
  <c r="K25" i="105"/>
  <c r="J25" i="105"/>
  <c r="AB22" i="105"/>
  <c r="AA22" i="105"/>
  <c r="Z22" i="105"/>
  <c r="Y22" i="105"/>
  <c r="X22" i="105"/>
  <c r="W22" i="105"/>
  <c r="V22" i="105"/>
  <c r="U22" i="105"/>
  <c r="T22" i="105"/>
  <c r="P22" i="105"/>
  <c r="O22" i="105"/>
  <c r="N22" i="105"/>
  <c r="M22" i="105"/>
  <c r="L22" i="105"/>
  <c r="K22" i="105"/>
  <c r="J22" i="105"/>
  <c r="AB21" i="105"/>
  <c r="AA21" i="105"/>
  <c r="Z21" i="105"/>
  <c r="Y21" i="105"/>
  <c r="X21" i="105"/>
  <c r="W21" i="105"/>
  <c r="V21" i="105"/>
  <c r="U21" i="105"/>
  <c r="T21" i="105"/>
  <c r="P21" i="105"/>
  <c r="O21" i="105"/>
  <c r="N21" i="105"/>
  <c r="M21" i="105"/>
  <c r="L21" i="105"/>
  <c r="K21" i="105"/>
  <c r="J21" i="105"/>
  <c r="AB20" i="105"/>
  <c r="AA20" i="105"/>
  <c r="Z20" i="105"/>
  <c r="Y20" i="105"/>
  <c r="X20" i="105"/>
  <c r="W20" i="105"/>
  <c r="V20" i="105"/>
  <c r="U20" i="105"/>
  <c r="T20" i="105"/>
  <c r="P20" i="105"/>
  <c r="O20" i="105"/>
  <c r="N20" i="105"/>
  <c r="M20" i="105"/>
  <c r="L20" i="105"/>
  <c r="K20" i="105"/>
  <c r="J20" i="105"/>
  <c r="AB19" i="105"/>
  <c r="AA19" i="105"/>
  <c r="Z19" i="105"/>
  <c r="Y19" i="105"/>
  <c r="X19" i="105"/>
  <c r="W19" i="105"/>
  <c r="V19" i="105"/>
  <c r="U19" i="105"/>
  <c r="T19" i="105"/>
  <c r="P19" i="105"/>
  <c r="O19" i="105"/>
  <c r="N19" i="105"/>
  <c r="M19" i="105"/>
  <c r="L19" i="105"/>
  <c r="K19" i="105"/>
  <c r="J19" i="105"/>
  <c r="AB18" i="105"/>
  <c r="AA18" i="105"/>
  <c r="Z18" i="105"/>
  <c r="Y18" i="105"/>
  <c r="X18" i="105"/>
  <c r="W18" i="105"/>
  <c r="V18" i="105"/>
  <c r="U18" i="105"/>
  <c r="T18" i="105"/>
  <c r="P18" i="105"/>
  <c r="O18" i="105"/>
  <c r="N18" i="105"/>
  <c r="M18" i="105"/>
  <c r="L18" i="105"/>
  <c r="K18" i="105"/>
  <c r="J18" i="105"/>
  <c r="AB17" i="105"/>
  <c r="AA17" i="105"/>
  <c r="Z17" i="105"/>
  <c r="Y17" i="105"/>
  <c r="X17" i="105"/>
  <c r="W17" i="105"/>
  <c r="V17" i="105"/>
  <c r="U17" i="105"/>
  <c r="T17" i="105"/>
  <c r="P17" i="105"/>
  <c r="O17" i="105"/>
  <c r="N17" i="105"/>
  <c r="M17" i="105"/>
  <c r="L17" i="105"/>
  <c r="K17" i="105"/>
  <c r="J17" i="105"/>
  <c r="AB16" i="105"/>
  <c r="AA16" i="105"/>
  <c r="Z16" i="105"/>
  <c r="Y16" i="105"/>
  <c r="X16" i="105"/>
  <c r="W16" i="105"/>
  <c r="V16" i="105"/>
  <c r="U16" i="105"/>
  <c r="T16" i="105"/>
  <c r="P16" i="105"/>
  <c r="O16" i="105"/>
  <c r="N16" i="105"/>
  <c r="M16" i="105"/>
  <c r="L16" i="105"/>
  <c r="K16" i="105"/>
  <c r="J16" i="105"/>
  <c r="AB34" i="65"/>
  <c r="AA34" i="65"/>
  <c r="Z34" i="65"/>
  <c r="Y34" i="65"/>
  <c r="X34" i="65"/>
  <c r="W34" i="65"/>
  <c r="V34" i="65"/>
  <c r="U34" i="65"/>
  <c r="AB33" i="65"/>
  <c r="AA33" i="65"/>
  <c r="Z33" i="65"/>
  <c r="Y33" i="65"/>
  <c r="X33" i="65"/>
  <c r="W33" i="65"/>
  <c r="V33" i="65"/>
  <c r="U33" i="65"/>
  <c r="AB32" i="65"/>
  <c r="AA32" i="65"/>
  <c r="Z32" i="65"/>
  <c r="Y32" i="65"/>
  <c r="X32" i="65"/>
  <c r="W32" i="65"/>
  <c r="V32" i="65"/>
  <c r="U32" i="65"/>
  <c r="AB25" i="41"/>
  <c r="AA25" i="41"/>
  <c r="Z25" i="41"/>
  <c r="Y25" i="41"/>
  <c r="X25" i="41"/>
  <c r="W25" i="41"/>
  <c r="V25" i="41"/>
  <c r="U25" i="41"/>
  <c r="AB24" i="41"/>
  <c r="AA24" i="41"/>
  <c r="Z24" i="41"/>
  <c r="Y24" i="41"/>
  <c r="X24" i="41"/>
  <c r="W24" i="41"/>
  <c r="V24" i="41"/>
  <c r="U24" i="41"/>
  <c r="AB63" i="74"/>
  <c r="AA63" i="74"/>
  <c r="Z63" i="74"/>
  <c r="Y63" i="74"/>
  <c r="X63" i="74"/>
  <c r="W63" i="74"/>
  <c r="V63" i="74"/>
  <c r="U63" i="74"/>
  <c r="T63" i="74"/>
  <c r="P63" i="74"/>
  <c r="O63" i="74"/>
  <c r="N63" i="74"/>
  <c r="M63" i="74"/>
  <c r="L63" i="74"/>
  <c r="K63" i="74"/>
  <c r="J63" i="74"/>
  <c r="AB48" i="74"/>
  <c r="AA48" i="74"/>
  <c r="Z48" i="74"/>
  <c r="Y48" i="74"/>
  <c r="X48" i="74"/>
  <c r="W48" i="74"/>
  <c r="V48" i="74"/>
  <c r="U48" i="74"/>
  <c r="AB47" i="74"/>
  <c r="AA47" i="74"/>
  <c r="Z47" i="74"/>
  <c r="Y47" i="74"/>
  <c r="X47" i="74"/>
  <c r="W47" i="74"/>
  <c r="V47" i="74"/>
  <c r="U47" i="74"/>
  <c r="AB46" i="74"/>
  <c r="AA46" i="74"/>
  <c r="Z46" i="74"/>
  <c r="Y46" i="74"/>
  <c r="X46" i="74"/>
  <c r="W46" i="74"/>
  <c r="V46" i="74"/>
  <c r="U46" i="74"/>
  <c r="AB45" i="74"/>
  <c r="AA45" i="74"/>
  <c r="Z45" i="74"/>
  <c r="Y45" i="74"/>
  <c r="X45" i="74"/>
  <c r="W45" i="74"/>
  <c r="V45" i="74"/>
  <c r="U45" i="74"/>
  <c r="AB44" i="74"/>
  <c r="AA44" i="74"/>
  <c r="Z44" i="74"/>
  <c r="Y44" i="74"/>
  <c r="X44" i="74"/>
  <c r="W44" i="74"/>
  <c r="V44" i="74"/>
  <c r="U44" i="74"/>
  <c r="AB43" i="74"/>
  <c r="AA43" i="74"/>
  <c r="Z43" i="74"/>
  <c r="Y43" i="74"/>
  <c r="X43" i="74"/>
  <c r="W43" i="74"/>
  <c r="V43" i="74"/>
  <c r="U43" i="74"/>
  <c r="AB42" i="74"/>
  <c r="AA42" i="74"/>
  <c r="Z42" i="74"/>
  <c r="Y42" i="74"/>
  <c r="X42" i="74"/>
  <c r="W42" i="74"/>
  <c r="V42" i="74"/>
  <c r="U42" i="74"/>
  <c r="AB41" i="74"/>
  <c r="AA41" i="74"/>
  <c r="Z41" i="74"/>
  <c r="Y41" i="74"/>
  <c r="X41" i="74"/>
  <c r="W41" i="74"/>
  <c r="V41" i="74"/>
  <c r="U41" i="74"/>
  <c r="AB40" i="74"/>
  <c r="AA40" i="74"/>
  <c r="Z40" i="74"/>
  <c r="Y40" i="74"/>
  <c r="X40" i="74"/>
  <c r="W40" i="74"/>
  <c r="V40" i="74"/>
  <c r="U40" i="74"/>
  <c r="AB39" i="74"/>
  <c r="AA39" i="74"/>
  <c r="Z39" i="74"/>
  <c r="Y39" i="74"/>
  <c r="X39" i="74"/>
  <c r="W39" i="74"/>
  <c r="V39" i="74"/>
  <c r="U39" i="74"/>
  <c r="AB34" i="74"/>
  <c r="AA34" i="74"/>
  <c r="Z34" i="74"/>
  <c r="Y34" i="74"/>
  <c r="X34" i="74"/>
  <c r="W34" i="74"/>
  <c r="V34" i="74"/>
  <c r="U34" i="74"/>
  <c r="AB33" i="74"/>
  <c r="AA33" i="74"/>
  <c r="Z33" i="74"/>
  <c r="Y33" i="74"/>
  <c r="X33" i="74"/>
  <c r="W33" i="74"/>
  <c r="V33" i="74"/>
  <c r="U33" i="74"/>
  <c r="AB32" i="74"/>
  <c r="AA32" i="74"/>
  <c r="Z32" i="74"/>
  <c r="Y32" i="74"/>
  <c r="X32" i="74"/>
  <c r="W32" i="74"/>
  <c r="V32" i="74"/>
  <c r="U32" i="74"/>
  <c r="AB31" i="74"/>
  <c r="AA31" i="74"/>
  <c r="Z31" i="74"/>
  <c r="Y31" i="74"/>
  <c r="X31" i="74"/>
  <c r="W31" i="74"/>
  <c r="V31" i="74"/>
  <c r="U31" i="74"/>
  <c r="AB30" i="74"/>
  <c r="AA30" i="74"/>
  <c r="Z30" i="74"/>
  <c r="Y30" i="74"/>
  <c r="X30" i="74"/>
  <c r="W30" i="74"/>
  <c r="V30" i="74"/>
  <c r="U30" i="74"/>
  <c r="AB29" i="74"/>
  <c r="AA29" i="74"/>
  <c r="Z29" i="74"/>
  <c r="Y29" i="74"/>
  <c r="X29" i="74"/>
  <c r="W29" i="74"/>
  <c r="V29" i="74"/>
  <c r="U29" i="74"/>
  <c r="AB28" i="74"/>
  <c r="AA28" i="74"/>
  <c r="Z28" i="74"/>
  <c r="Y28" i="74"/>
  <c r="X28" i="74"/>
  <c r="W28" i="74"/>
  <c r="V28" i="74"/>
  <c r="U28" i="74"/>
  <c r="AB27" i="74"/>
  <c r="AA27" i="74"/>
  <c r="Z27" i="74"/>
  <c r="Y27" i="74"/>
  <c r="X27" i="74"/>
  <c r="W27" i="74"/>
  <c r="V27" i="74"/>
  <c r="U27" i="74"/>
  <c r="AB20" i="74"/>
  <c r="AA20" i="74"/>
  <c r="Z20" i="74"/>
  <c r="Y20" i="74"/>
  <c r="X20" i="74"/>
  <c r="W20" i="74"/>
  <c r="V20" i="74"/>
  <c r="U20" i="74"/>
  <c r="AB123" i="73"/>
  <c r="AA123" i="73"/>
  <c r="Z123" i="73"/>
  <c r="Y123" i="73"/>
  <c r="X123" i="73"/>
  <c r="W123" i="73"/>
  <c r="V123" i="73"/>
  <c r="U123" i="73"/>
  <c r="T123" i="73"/>
  <c r="P123" i="73"/>
  <c r="O123" i="73"/>
  <c r="N123" i="73"/>
  <c r="M123" i="73"/>
  <c r="L123" i="73"/>
  <c r="K123" i="73"/>
  <c r="J123" i="73"/>
  <c r="AB122" i="73"/>
  <c r="AA122" i="73"/>
  <c r="Z122" i="73"/>
  <c r="Y122" i="73"/>
  <c r="X122" i="73"/>
  <c r="W122" i="73"/>
  <c r="V122" i="73"/>
  <c r="U122" i="73"/>
  <c r="T122" i="73"/>
  <c r="P122" i="73"/>
  <c r="O122" i="73"/>
  <c r="N122" i="73"/>
  <c r="M122" i="73"/>
  <c r="L122" i="73"/>
  <c r="K122" i="73"/>
  <c r="J122" i="73"/>
  <c r="AB121" i="73"/>
  <c r="AA121" i="73"/>
  <c r="Z121" i="73"/>
  <c r="Y121" i="73"/>
  <c r="X121" i="73"/>
  <c r="W121" i="73"/>
  <c r="V121" i="73"/>
  <c r="U121" i="73"/>
  <c r="T121" i="73"/>
  <c r="P121" i="73"/>
  <c r="O121" i="73"/>
  <c r="N121" i="73"/>
  <c r="M121" i="73"/>
  <c r="L121" i="73"/>
  <c r="K121" i="73"/>
  <c r="J121" i="73"/>
  <c r="AB102" i="73"/>
  <c r="AA102" i="73"/>
  <c r="Z102" i="73"/>
  <c r="Y102" i="73"/>
  <c r="X102" i="73"/>
  <c r="W102" i="73"/>
  <c r="V102" i="73"/>
  <c r="U102" i="73"/>
  <c r="AB101" i="73"/>
  <c r="AA101" i="73"/>
  <c r="Z101" i="73"/>
  <c r="Y101" i="73"/>
  <c r="X101" i="73"/>
  <c r="W101" i="73"/>
  <c r="V101" i="73"/>
  <c r="U101" i="73"/>
  <c r="AB100" i="73"/>
  <c r="AA100" i="73"/>
  <c r="Z100" i="73"/>
  <c r="Y100" i="73"/>
  <c r="X100" i="73"/>
  <c r="W100" i="73"/>
  <c r="V100" i="73"/>
  <c r="U100" i="73"/>
  <c r="AB99" i="73"/>
  <c r="AA99" i="73"/>
  <c r="Z99" i="73"/>
  <c r="Y99" i="73"/>
  <c r="X99" i="73"/>
  <c r="W99" i="73"/>
  <c r="V99" i="73"/>
  <c r="U99" i="73"/>
  <c r="AB98" i="73"/>
  <c r="AA98" i="73"/>
  <c r="Z98" i="73"/>
  <c r="Y98" i="73"/>
  <c r="X98" i="73"/>
  <c r="W98" i="73"/>
  <c r="V98" i="73"/>
  <c r="U98" i="73"/>
  <c r="AB97" i="73"/>
  <c r="AA97" i="73"/>
  <c r="Z97" i="73"/>
  <c r="Y97" i="73"/>
  <c r="X97" i="73"/>
  <c r="W97" i="73"/>
  <c r="V97" i="73"/>
  <c r="U97" i="73"/>
  <c r="AB96" i="73"/>
  <c r="AA96" i="73"/>
  <c r="Z96" i="73"/>
  <c r="Y96" i="73"/>
  <c r="X96" i="73"/>
  <c r="W96" i="73"/>
  <c r="V96" i="73"/>
  <c r="U96" i="73"/>
  <c r="AB95" i="73"/>
  <c r="AA95" i="73"/>
  <c r="Z95" i="73"/>
  <c r="Y95" i="73"/>
  <c r="X95" i="73"/>
  <c r="W95" i="73"/>
  <c r="V95" i="73"/>
  <c r="U95" i="73"/>
  <c r="AB94" i="73"/>
  <c r="AA94" i="73"/>
  <c r="Z94" i="73"/>
  <c r="Y94" i="73"/>
  <c r="X94" i="73"/>
  <c r="W94" i="73"/>
  <c r="V94" i="73"/>
  <c r="U94" i="73"/>
  <c r="T94" i="73"/>
  <c r="P94" i="73"/>
  <c r="O94" i="73"/>
  <c r="N94" i="73"/>
  <c r="M94" i="73"/>
  <c r="L94" i="73"/>
  <c r="K94" i="73"/>
  <c r="J94" i="73"/>
  <c r="AB89" i="72"/>
  <c r="AA89" i="72"/>
  <c r="Z89" i="72"/>
  <c r="Y89" i="72"/>
  <c r="X89" i="72"/>
  <c r="W89" i="72"/>
  <c r="V89" i="72"/>
  <c r="U89" i="72"/>
  <c r="AB88" i="72"/>
  <c r="AA88" i="72"/>
  <c r="Z88" i="72"/>
  <c r="Y88" i="72"/>
  <c r="X88" i="72"/>
  <c r="W88" i="72"/>
  <c r="V88" i="72"/>
  <c r="U88" i="72"/>
  <c r="AB87" i="72"/>
  <c r="AA87" i="72"/>
  <c r="Z87" i="72"/>
  <c r="Y87" i="72"/>
  <c r="X87" i="72"/>
  <c r="W87" i="72"/>
  <c r="V87" i="72"/>
  <c r="U87" i="72"/>
  <c r="AB86" i="72"/>
  <c r="AA86" i="72"/>
  <c r="Z86" i="72"/>
  <c r="Y86" i="72"/>
  <c r="X86" i="72"/>
  <c r="W86" i="72"/>
  <c r="V86" i="72"/>
  <c r="U86" i="72"/>
  <c r="AB85" i="72"/>
  <c r="AA85" i="72"/>
  <c r="Z85" i="72"/>
  <c r="Y85" i="72"/>
  <c r="X85" i="72"/>
  <c r="W85" i="72"/>
  <c r="V85" i="72"/>
  <c r="U85" i="72"/>
  <c r="AB84" i="72"/>
  <c r="AA84" i="72"/>
  <c r="Z84" i="72"/>
  <c r="Y84" i="72"/>
  <c r="X84" i="72"/>
  <c r="W84" i="72"/>
  <c r="V84" i="72"/>
  <c r="U84" i="72"/>
  <c r="AB83" i="72"/>
  <c r="AA83" i="72"/>
  <c r="Z83" i="72"/>
  <c r="Y83" i="72"/>
  <c r="X83" i="72"/>
  <c r="W83" i="72"/>
  <c r="V83" i="72"/>
  <c r="U83" i="72"/>
  <c r="AB82" i="72"/>
  <c r="AA82" i="72"/>
  <c r="Z82" i="72"/>
  <c r="Y82" i="72"/>
  <c r="X82" i="72"/>
  <c r="W82" i="72"/>
  <c r="V82" i="72"/>
  <c r="U82" i="72"/>
  <c r="AB81" i="72"/>
  <c r="AA81" i="72"/>
  <c r="Z81" i="72"/>
  <c r="Y81" i="72"/>
  <c r="X81" i="72"/>
  <c r="W81" i="72"/>
  <c r="V81" i="72"/>
  <c r="U81" i="72"/>
  <c r="T81" i="72"/>
  <c r="P81" i="72"/>
  <c r="O81" i="72"/>
  <c r="N81" i="72"/>
  <c r="M81" i="72"/>
  <c r="L81" i="72"/>
  <c r="K81" i="72"/>
  <c r="J81" i="72"/>
  <c r="AB78" i="72"/>
  <c r="AA78" i="72"/>
  <c r="Z78" i="72"/>
  <c r="Y78" i="72"/>
  <c r="X78" i="72"/>
  <c r="W78" i="72"/>
  <c r="V78" i="72"/>
  <c r="U78" i="72"/>
  <c r="T78" i="72"/>
  <c r="P78" i="72"/>
  <c r="O78" i="72"/>
  <c r="N78" i="72"/>
  <c r="M78" i="72"/>
  <c r="L78" i="72"/>
  <c r="K78" i="72"/>
  <c r="J78" i="72"/>
  <c r="AB120" i="71"/>
  <c r="AA120" i="71"/>
  <c r="Z120" i="71"/>
  <c r="Y120" i="71"/>
  <c r="X120" i="71"/>
  <c r="W120" i="71"/>
  <c r="V120" i="71"/>
  <c r="U120" i="71"/>
  <c r="AB119" i="71"/>
  <c r="AA119" i="71"/>
  <c r="Z119" i="71"/>
  <c r="Y119" i="71"/>
  <c r="X119" i="71"/>
  <c r="W119" i="71"/>
  <c r="V119" i="71"/>
  <c r="U119" i="71"/>
  <c r="AB118" i="71"/>
  <c r="AA118" i="71"/>
  <c r="Z118" i="71"/>
  <c r="Y118" i="71"/>
  <c r="X118" i="71"/>
  <c r="W118" i="71"/>
  <c r="V118" i="71"/>
  <c r="U118" i="71"/>
  <c r="AB117" i="71"/>
  <c r="AA117" i="71"/>
  <c r="Z117" i="71"/>
  <c r="Y117" i="71"/>
  <c r="X117" i="71"/>
  <c r="W117" i="71"/>
  <c r="V117" i="71"/>
  <c r="U117" i="71"/>
  <c r="AB116" i="71"/>
  <c r="AA116" i="71"/>
  <c r="Z116" i="71"/>
  <c r="Y116" i="71"/>
  <c r="X116" i="71"/>
  <c r="W116" i="71"/>
  <c r="V116" i="71"/>
  <c r="U116" i="71"/>
  <c r="AB115" i="71"/>
  <c r="AA115" i="71"/>
  <c r="Z115" i="71"/>
  <c r="Y115" i="71"/>
  <c r="X115" i="71"/>
  <c r="W115" i="71"/>
  <c r="V115" i="71"/>
  <c r="U115" i="71"/>
  <c r="AB114" i="71"/>
  <c r="AA114" i="71"/>
  <c r="Z114" i="71"/>
  <c r="Y114" i="71"/>
  <c r="X114" i="71"/>
  <c r="W114" i="71"/>
  <c r="V114" i="71"/>
  <c r="U114" i="71"/>
  <c r="AB113" i="71"/>
  <c r="AA113" i="71"/>
  <c r="Z113" i="71"/>
  <c r="Y113" i="71"/>
  <c r="X113" i="71"/>
  <c r="W113" i="71"/>
  <c r="V113" i="71"/>
  <c r="U113" i="71"/>
  <c r="AB112" i="71"/>
  <c r="AA112" i="71"/>
  <c r="Z112" i="71"/>
  <c r="Y112" i="71"/>
  <c r="X112" i="71"/>
  <c r="W112" i="71"/>
  <c r="V112" i="71"/>
  <c r="U112" i="71"/>
  <c r="T112" i="71"/>
  <c r="P112" i="71"/>
  <c r="O112" i="71"/>
  <c r="N112" i="71"/>
  <c r="M112" i="71"/>
  <c r="L112" i="71"/>
  <c r="K112" i="71"/>
  <c r="J112" i="71"/>
  <c r="AB26" i="76"/>
  <c r="AA26" i="76"/>
  <c r="Z26" i="76"/>
  <c r="Y26" i="76"/>
  <c r="X26" i="76"/>
  <c r="W26" i="76"/>
  <c r="V26" i="76"/>
  <c r="U26" i="76"/>
  <c r="AB25" i="76"/>
  <c r="AA25" i="76"/>
  <c r="Z25" i="76"/>
  <c r="Y25" i="76"/>
  <c r="X25" i="76"/>
  <c r="W25" i="76"/>
  <c r="V25" i="76"/>
  <c r="U25" i="76"/>
  <c r="P26" i="76"/>
  <c r="O26" i="76"/>
  <c r="N26" i="76"/>
  <c r="M26" i="76"/>
  <c r="L26" i="76"/>
  <c r="K26" i="76"/>
  <c r="J26" i="76"/>
  <c r="P25" i="76"/>
  <c r="O25" i="76"/>
  <c r="N25" i="76"/>
  <c r="M25" i="76"/>
  <c r="L25" i="76"/>
  <c r="K25" i="76"/>
  <c r="J25" i="76"/>
  <c r="AB22" i="111"/>
  <c r="AA22" i="111"/>
  <c r="Z22" i="111"/>
  <c r="Y22" i="111"/>
  <c r="X22" i="111"/>
  <c r="W22" i="111"/>
  <c r="V22" i="111"/>
  <c r="AB21" i="111"/>
  <c r="AA21" i="111"/>
  <c r="Z21" i="111"/>
  <c r="Y21" i="111"/>
  <c r="X21" i="111"/>
  <c r="W21" i="111"/>
  <c r="V21" i="111"/>
  <c r="U22" i="111"/>
  <c r="U21" i="111"/>
  <c r="T23" i="111"/>
  <c r="P22" i="111"/>
  <c r="O22" i="111"/>
  <c r="N22" i="111"/>
  <c r="M22" i="111"/>
  <c r="L22" i="111"/>
  <c r="K22" i="111"/>
  <c r="J22" i="111"/>
  <c r="P21" i="111"/>
  <c r="O21" i="111"/>
  <c r="N21" i="111"/>
  <c r="M21" i="111"/>
  <c r="L21" i="111"/>
  <c r="K21" i="111"/>
  <c r="J21" i="111"/>
  <c r="AB198" i="80"/>
  <c r="AA198" i="80"/>
  <c r="Z198" i="80"/>
  <c r="Y198" i="80"/>
  <c r="X198" i="80"/>
  <c r="W198" i="80"/>
  <c r="V198" i="80"/>
  <c r="U198" i="80"/>
  <c r="T198" i="80"/>
  <c r="P198" i="80"/>
  <c r="O198" i="80"/>
  <c r="N198" i="80"/>
  <c r="M198" i="80"/>
  <c r="L198" i="80"/>
  <c r="K198" i="80"/>
  <c r="J198" i="80"/>
  <c r="T61" i="80"/>
  <c r="P61" i="80"/>
  <c r="O61" i="80"/>
  <c r="N61" i="80"/>
  <c r="M61" i="80"/>
  <c r="L61" i="80"/>
  <c r="K61" i="80"/>
  <c r="J61" i="80"/>
  <c r="AB31" i="80"/>
  <c r="AA31" i="80"/>
  <c r="Z31" i="80"/>
  <c r="Y31" i="80"/>
  <c r="X31" i="80"/>
  <c r="W31" i="80"/>
  <c r="V31" i="80"/>
  <c r="U31" i="80"/>
  <c r="AB30" i="80"/>
  <c r="AA30" i="80"/>
  <c r="Z30" i="80"/>
  <c r="Y30" i="80"/>
  <c r="X30" i="80"/>
  <c r="W30" i="80"/>
  <c r="V30" i="80"/>
  <c r="U30" i="80"/>
  <c r="AB29" i="80"/>
  <c r="AA29" i="80"/>
  <c r="Z29" i="80"/>
  <c r="Y29" i="80"/>
  <c r="X29" i="80"/>
  <c r="W29" i="80"/>
  <c r="V29" i="80"/>
  <c r="U29" i="80"/>
  <c r="AB28" i="80"/>
  <c r="AA28" i="80"/>
  <c r="Z28" i="80"/>
  <c r="Y28" i="80"/>
  <c r="X28" i="80"/>
  <c r="W28" i="80"/>
  <c r="V28" i="80"/>
  <c r="U28" i="80"/>
  <c r="AB27" i="80"/>
  <c r="AA27" i="80"/>
  <c r="Z27" i="80"/>
  <c r="Y27" i="80"/>
  <c r="X27" i="80"/>
  <c r="W27" i="80"/>
  <c r="V27" i="80"/>
  <c r="U27" i="80"/>
  <c r="AB26" i="80"/>
  <c r="AA26" i="80"/>
  <c r="Z26" i="80"/>
  <c r="Y26" i="80"/>
  <c r="X26" i="80"/>
  <c r="W26" i="80"/>
  <c r="V26" i="80"/>
  <c r="U26" i="80"/>
  <c r="AB25" i="80"/>
  <c r="AA25" i="80"/>
  <c r="Z25" i="80"/>
  <c r="Y25" i="80"/>
  <c r="X25" i="80"/>
  <c r="W25" i="80"/>
  <c r="V25" i="80"/>
  <c r="U25" i="80"/>
  <c r="AB24" i="80"/>
  <c r="AA24" i="80"/>
  <c r="Z24" i="80"/>
  <c r="Y24" i="80"/>
  <c r="X24" i="80"/>
  <c r="W24" i="80"/>
  <c r="V24" i="80"/>
  <c r="U24" i="80"/>
  <c r="AB23" i="80"/>
  <c r="AA23" i="80"/>
  <c r="Z23" i="80"/>
  <c r="Y23" i="80"/>
  <c r="X23" i="80"/>
  <c r="W23" i="80"/>
  <c r="V23" i="80"/>
  <c r="U23" i="80"/>
  <c r="T23" i="80"/>
  <c r="P23" i="80"/>
  <c r="O23" i="80"/>
  <c r="N23" i="80"/>
  <c r="M23" i="80"/>
  <c r="L23" i="80"/>
  <c r="K23" i="80"/>
  <c r="J23" i="80"/>
  <c r="AB63" i="53"/>
  <c r="AB85" i="53" s="1"/>
  <c r="AA63" i="53"/>
  <c r="AA85" i="53" s="1"/>
  <c r="Z63" i="53"/>
  <c r="Z85" i="53" s="1"/>
  <c r="Y63" i="53"/>
  <c r="Y85" i="53" s="1"/>
  <c r="X63" i="53"/>
  <c r="X85" i="53" s="1"/>
  <c r="W63" i="53"/>
  <c r="W85" i="53" s="1"/>
  <c r="V63" i="53"/>
  <c r="V85" i="53" s="1"/>
  <c r="U63" i="53"/>
  <c r="U85" i="53" s="1"/>
  <c r="T63" i="53"/>
  <c r="T85" i="53" s="1"/>
  <c r="P63" i="53"/>
  <c r="O63" i="53"/>
  <c r="N63" i="53"/>
  <c r="M63" i="53"/>
  <c r="L63" i="53"/>
  <c r="K63" i="53"/>
  <c r="J63" i="53"/>
  <c r="AB62" i="53"/>
  <c r="AB83" i="53" s="1"/>
  <c r="AA62" i="53"/>
  <c r="AA83" i="53" s="1"/>
  <c r="Z62" i="53"/>
  <c r="Z83" i="53" s="1"/>
  <c r="Z91" i="53" s="1"/>
  <c r="Z267" i="53" s="1"/>
  <c r="Y62" i="53"/>
  <c r="Y83" i="53" s="1"/>
  <c r="X62" i="53"/>
  <c r="X83" i="53" s="1"/>
  <c r="W62" i="53"/>
  <c r="W83" i="53" s="1"/>
  <c r="W91" i="53" s="1"/>
  <c r="W267" i="53" s="1"/>
  <c r="V62" i="53"/>
  <c r="V83" i="53" s="1"/>
  <c r="V91" i="53" s="1"/>
  <c r="V267" i="53" s="1"/>
  <c r="U62" i="53"/>
  <c r="U83" i="53" s="1"/>
  <c r="T62" i="53"/>
  <c r="T83" i="53" s="1"/>
  <c r="P62" i="53"/>
  <c r="O62" i="53"/>
  <c r="N62" i="53"/>
  <c r="M62" i="53"/>
  <c r="L62" i="53"/>
  <c r="K62" i="53"/>
  <c r="J62" i="53"/>
  <c r="AB20" i="53"/>
  <c r="AA20" i="53"/>
  <c r="AA26" i="53" s="1"/>
  <c r="Z20" i="53"/>
  <c r="Z24" i="53" s="1"/>
  <c r="Y20" i="53"/>
  <c r="X20" i="53"/>
  <c r="W20" i="53"/>
  <c r="W24" i="53" s="1"/>
  <c r="V20" i="53"/>
  <c r="V25" i="53" s="1"/>
  <c r="U20" i="53"/>
  <c r="T20" i="53"/>
  <c r="P20" i="53"/>
  <c r="P26" i="53" s="1"/>
  <c r="O20" i="53"/>
  <c r="N20" i="53"/>
  <c r="N26" i="53" s="1"/>
  <c r="M20" i="53"/>
  <c r="M26" i="53" s="1"/>
  <c r="L20" i="53"/>
  <c r="K20" i="53"/>
  <c r="J20" i="53"/>
  <c r="J26" i="53" s="1"/>
  <c r="AB131" i="22"/>
  <c r="AA131" i="22"/>
  <c r="Z131" i="22"/>
  <c r="Y131" i="22"/>
  <c r="X131" i="22"/>
  <c r="W131" i="22"/>
  <c r="V131" i="22"/>
  <c r="U131" i="22"/>
  <c r="T131" i="22"/>
  <c r="P131" i="22"/>
  <c r="O131" i="22"/>
  <c r="N131" i="22"/>
  <c r="M131" i="22"/>
  <c r="L131" i="22"/>
  <c r="K131" i="22"/>
  <c r="J131" i="22"/>
  <c r="AB130" i="22"/>
  <c r="AA130" i="22"/>
  <c r="Z130" i="22"/>
  <c r="Y130" i="22"/>
  <c r="X130" i="22"/>
  <c r="W130" i="22"/>
  <c r="V130" i="22"/>
  <c r="U130" i="22"/>
  <c r="T130" i="22"/>
  <c r="P130" i="22"/>
  <c r="O130" i="22"/>
  <c r="M130" i="22"/>
  <c r="L130" i="22"/>
  <c r="K130" i="22"/>
  <c r="J130" i="22"/>
  <c r="AB129" i="22"/>
  <c r="AA129" i="22"/>
  <c r="Z129" i="22"/>
  <c r="Y129" i="22"/>
  <c r="X129" i="22"/>
  <c r="W129" i="22"/>
  <c r="V129" i="22"/>
  <c r="U129" i="22"/>
  <c r="T129" i="22"/>
  <c r="P129" i="22"/>
  <c r="O129" i="22"/>
  <c r="N129" i="22"/>
  <c r="M129" i="22"/>
  <c r="L129" i="22"/>
  <c r="K129" i="22"/>
  <c r="J129" i="22"/>
  <c r="AB120" i="22"/>
  <c r="AA120" i="22"/>
  <c r="Z120" i="22"/>
  <c r="Y120" i="22"/>
  <c r="X120" i="22"/>
  <c r="W120" i="22"/>
  <c r="V120" i="22"/>
  <c r="U120" i="22"/>
  <c r="T120" i="22"/>
  <c r="P120" i="22"/>
  <c r="O120" i="22"/>
  <c r="N120" i="22"/>
  <c r="M120" i="22"/>
  <c r="L120" i="22"/>
  <c r="K120" i="22"/>
  <c r="J120" i="22"/>
  <c r="AB119" i="22"/>
  <c r="AA119" i="22"/>
  <c r="Z119" i="22"/>
  <c r="Y119" i="22"/>
  <c r="X119" i="22"/>
  <c r="W119" i="22"/>
  <c r="V119" i="22"/>
  <c r="U119" i="22"/>
  <c r="T119" i="22"/>
  <c r="P119" i="22"/>
  <c r="O119" i="22"/>
  <c r="M119" i="22"/>
  <c r="L119" i="22"/>
  <c r="K119" i="22"/>
  <c r="J119" i="22"/>
  <c r="AB118" i="22"/>
  <c r="AA118" i="22"/>
  <c r="Z118" i="22"/>
  <c r="Y118" i="22"/>
  <c r="X118" i="22"/>
  <c r="W118" i="22"/>
  <c r="V118" i="22"/>
  <c r="U118" i="22"/>
  <c r="T118" i="22"/>
  <c r="P118" i="22"/>
  <c r="O118" i="22"/>
  <c r="N118" i="22"/>
  <c r="M118" i="22"/>
  <c r="L118" i="22"/>
  <c r="K118" i="22"/>
  <c r="J118" i="22"/>
  <c r="AB109" i="22"/>
  <c r="AA109" i="22"/>
  <c r="Z109" i="22"/>
  <c r="Y109" i="22"/>
  <c r="X109" i="22"/>
  <c r="W109" i="22"/>
  <c r="V109" i="22"/>
  <c r="U109" i="22"/>
  <c r="T109" i="22"/>
  <c r="P109" i="22"/>
  <c r="O109" i="22"/>
  <c r="N109" i="22"/>
  <c r="M109" i="22"/>
  <c r="L109" i="22"/>
  <c r="K109" i="22"/>
  <c r="J109" i="22"/>
  <c r="AB108" i="22"/>
  <c r="AA108" i="22"/>
  <c r="Z108" i="22"/>
  <c r="Y108" i="22"/>
  <c r="X108" i="22"/>
  <c r="W108" i="22"/>
  <c r="V108" i="22"/>
  <c r="U108" i="22"/>
  <c r="T108" i="22"/>
  <c r="P108" i="22"/>
  <c r="O108" i="22"/>
  <c r="M108" i="22"/>
  <c r="L108" i="22"/>
  <c r="K108" i="22"/>
  <c r="J108" i="22"/>
  <c r="AB107" i="22"/>
  <c r="AA107" i="22"/>
  <c r="Z107" i="22"/>
  <c r="Y107" i="22"/>
  <c r="X107" i="22"/>
  <c r="W107" i="22"/>
  <c r="V107" i="22"/>
  <c r="U107" i="22"/>
  <c r="T107" i="22"/>
  <c r="P107" i="22"/>
  <c r="O107" i="22"/>
  <c r="N107" i="22"/>
  <c r="M107" i="22"/>
  <c r="L107" i="22"/>
  <c r="K107" i="22"/>
  <c r="J107" i="22"/>
  <c r="AB98" i="22"/>
  <c r="AA98" i="22"/>
  <c r="Z98" i="22"/>
  <c r="Y98" i="22"/>
  <c r="X98" i="22"/>
  <c r="W98" i="22"/>
  <c r="V98" i="22"/>
  <c r="U98" i="22"/>
  <c r="T98" i="22"/>
  <c r="P98" i="22"/>
  <c r="O98" i="22"/>
  <c r="N98" i="22"/>
  <c r="M98" i="22"/>
  <c r="L98" i="22"/>
  <c r="K98" i="22"/>
  <c r="J98" i="22"/>
  <c r="AB97" i="22"/>
  <c r="AA97" i="22"/>
  <c r="Z97" i="22"/>
  <c r="Y97" i="22"/>
  <c r="X97" i="22"/>
  <c r="W97" i="22"/>
  <c r="V97" i="22"/>
  <c r="U97" i="22"/>
  <c r="T97" i="22"/>
  <c r="P97" i="22"/>
  <c r="O97" i="22"/>
  <c r="M97" i="22"/>
  <c r="L97" i="22"/>
  <c r="K97" i="22"/>
  <c r="J97" i="22"/>
  <c r="AB96" i="22"/>
  <c r="AA96" i="22"/>
  <c r="Z96" i="22"/>
  <c r="Y96" i="22"/>
  <c r="X96" i="22"/>
  <c r="W96" i="22"/>
  <c r="V96" i="22"/>
  <c r="U96" i="22"/>
  <c r="T96" i="22"/>
  <c r="P96" i="22"/>
  <c r="O96" i="22"/>
  <c r="N96" i="22"/>
  <c r="M96" i="22"/>
  <c r="L96" i="22"/>
  <c r="K96" i="22"/>
  <c r="J96" i="22"/>
  <c r="AB83" i="22"/>
  <c r="AA83" i="22"/>
  <c r="Z83" i="22"/>
  <c r="Y83" i="22"/>
  <c r="X83" i="22"/>
  <c r="W83" i="22"/>
  <c r="V83" i="22"/>
  <c r="U83" i="22"/>
  <c r="T83" i="22"/>
  <c r="P83" i="22"/>
  <c r="O83" i="22"/>
  <c r="N83" i="22"/>
  <c r="M83" i="22"/>
  <c r="L83" i="22"/>
  <c r="K83" i="22"/>
  <c r="J83" i="22"/>
  <c r="AB82" i="22"/>
  <c r="AA82" i="22"/>
  <c r="Z82" i="22"/>
  <c r="Y82" i="22"/>
  <c r="X82" i="22"/>
  <c r="W82" i="22"/>
  <c r="V82" i="22"/>
  <c r="U82" i="22"/>
  <c r="T82" i="22"/>
  <c r="P82" i="22"/>
  <c r="O82" i="22"/>
  <c r="M82" i="22"/>
  <c r="L82" i="22"/>
  <c r="K82" i="22"/>
  <c r="J82" i="22"/>
  <c r="AB81" i="22"/>
  <c r="AA81" i="22"/>
  <c r="Z81" i="22"/>
  <c r="Y81" i="22"/>
  <c r="X81" i="22"/>
  <c r="W81" i="22"/>
  <c r="V81" i="22"/>
  <c r="U81" i="22"/>
  <c r="T81" i="22"/>
  <c r="P81" i="22"/>
  <c r="O81" i="22"/>
  <c r="N81" i="22"/>
  <c r="M81" i="22"/>
  <c r="L81" i="22"/>
  <c r="K81" i="22"/>
  <c r="J81" i="22"/>
  <c r="AB72" i="22"/>
  <c r="AA72" i="22"/>
  <c r="Z72" i="22"/>
  <c r="Y72" i="22"/>
  <c r="X72" i="22"/>
  <c r="W72" i="22"/>
  <c r="V72" i="22"/>
  <c r="U72" i="22"/>
  <c r="T72" i="22"/>
  <c r="P72" i="22"/>
  <c r="O72" i="22"/>
  <c r="N72" i="22"/>
  <c r="M72" i="22"/>
  <c r="L72" i="22"/>
  <c r="K72" i="22"/>
  <c r="J72" i="22"/>
  <c r="AB71" i="22"/>
  <c r="AA71" i="22"/>
  <c r="Z71" i="22"/>
  <c r="Y71" i="22"/>
  <c r="X71" i="22"/>
  <c r="W71" i="22"/>
  <c r="V71" i="22"/>
  <c r="U71" i="22"/>
  <c r="T71" i="22"/>
  <c r="P71" i="22"/>
  <c r="O71" i="22"/>
  <c r="M71" i="22"/>
  <c r="L71" i="22"/>
  <c r="K71" i="22"/>
  <c r="J71" i="22"/>
  <c r="AB70" i="22"/>
  <c r="AA70" i="22"/>
  <c r="Z70" i="22"/>
  <c r="Y70" i="22"/>
  <c r="X70" i="22"/>
  <c r="W70" i="22"/>
  <c r="V70" i="22"/>
  <c r="U70" i="22"/>
  <c r="T70" i="22"/>
  <c r="P70" i="22"/>
  <c r="O70" i="22"/>
  <c r="N70" i="22"/>
  <c r="M70" i="22"/>
  <c r="L70" i="22"/>
  <c r="K70" i="22"/>
  <c r="J70" i="22"/>
  <c r="AB61" i="22"/>
  <c r="AA61" i="22"/>
  <c r="Z61" i="22"/>
  <c r="Y61" i="22"/>
  <c r="X61" i="22"/>
  <c r="W61" i="22"/>
  <c r="V61" i="22"/>
  <c r="U61" i="22"/>
  <c r="T61" i="22"/>
  <c r="P61" i="22"/>
  <c r="O61" i="22"/>
  <c r="N61" i="22"/>
  <c r="M61" i="22"/>
  <c r="L61" i="22"/>
  <c r="K61" i="22"/>
  <c r="J61" i="22"/>
  <c r="AB60" i="22"/>
  <c r="AA60" i="22"/>
  <c r="Z60" i="22"/>
  <c r="Y60" i="22"/>
  <c r="X60" i="22"/>
  <c r="W60" i="22"/>
  <c r="V60" i="22"/>
  <c r="U60" i="22"/>
  <c r="T60" i="22"/>
  <c r="P60" i="22"/>
  <c r="O60" i="22"/>
  <c r="M60" i="22"/>
  <c r="L60" i="22"/>
  <c r="K60" i="22"/>
  <c r="J60" i="22"/>
  <c r="AB59" i="22"/>
  <c r="AA59" i="22"/>
  <c r="Z59" i="22"/>
  <c r="Y59" i="22"/>
  <c r="X59" i="22"/>
  <c r="W59" i="22"/>
  <c r="V59" i="22"/>
  <c r="U59" i="22"/>
  <c r="T59" i="22"/>
  <c r="P59" i="22"/>
  <c r="O59" i="22"/>
  <c r="N59" i="22"/>
  <c r="M59" i="22"/>
  <c r="L59" i="22"/>
  <c r="K59" i="22"/>
  <c r="J59" i="22"/>
  <c r="AB49" i="22"/>
  <c r="AA49" i="22"/>
  <c r="Z49" i="22"/>
  <c r="Y49" i="22"/>
  <c r="X49" i="22"/>
  <c r="W49" i="22"/>
  <c r="V49" i="22"/>
  <c r="U49" i="22"/>
  <c r="T49" i="22"/>
  <c r="P49" i="22"/>
  <c r="O49" i="22"/>
  <c r="N49" i="22"/>
  <c r="M49" i="22"/>
  <c r="L49" i="22"/>
  <c r="K49" i="22"/>
  <c r="J49" i="22"/>
  <c r="AB48" i="22"/>
  <c r="AA48" i="22"/>
  <c r="Z48" i="22"/>
  <c r="Y48" i="22"/>
  <c r="X48" i="22"/>
  <c r="W48" i="22"/>
  <c r="V48" i="22"/>
  <c r="U48" i="22"/>
  <c r="T48" i="22"/>
  <c r="P48" i="22"/>
  <c r="O48" i="22"/>
  <c r="N48" i="22"/>
  <c r="M48" i="22"/>
  <c r="L48" i="22"/>
  <c r="K48" i="22"/>
  <c r="J48" i="22"/>
  <c r="AB47" i="22"/>
  <c r="AA47" i="22"/>
  <c r="Z47" i="22"/>
  <c r="Y47" i="22"/>
  <c r="X47" i="22"/>
  <c r="W47" i="22"/>
  <c r="V47" i="22"/>
  <c r="U47" i="22"/>
  <c r="T47" i="22"/>
  <c r="P47" i="22"/>
  <c r="O47" i="22"/>
  <c r="N47" i="22"/>
  <c r="M47" i="22"/>
  <c r="L47" i="22"/>
  <c r="K47" i="22"/>
  <c r="J47" i="22"/>
  <c r="AB46" i="22"/>
  <c r="AA46" i="22"/>
  <c r="Z46" i="22"/>
  <c r="Y46" i="22"/>
  <c r="X46" i="22"/>
  <c r="W46" i="22"/>
  <c r="V46" i="22"/>
  <c r="U46" i="22"/>
  <c r="T46" i="22"/>
  <c r="P46" i="22"/>
  <c r="O46" i="22"/>
  <c r="N46" i="22"/>
  <c r="M46" i="22"/>
  <c r="L46" i="22"/>
  <c r="K46" i="22"/>
  <c r="J46" i="22"/>
  <c r="AB45" i="22"/>
  <c r="AA45" i="22"/>
  <c r="Z45" i="22"/>
  <c r="Y45" i="22"/>
  <c r="X45" i="22"/>
  <c r="W45" i="22"/>
  <c r="V45" i="22"/>
  <c r="U45" i="22"/>
  <c r="T45" i="22"/>
  <c r="P45" i="22"/>
  <c r="O45" i="22"/>
  <c r="N45" i="22"/>
  <c r="M45" i="22"/>
  <c r="L45" i="22"/>
  <c r="K45" i="22"/>
  <c r="J45" i="22"/>
  <c r="AB43" i="22"/>
  <c r="AA43" i="22"/>
  <c r="Z43" i="22"/>
  <c r="Y43" i="22"/>
  <c r="X43" i="22"/>
  <c r="W43" i="22"/>
  <c r="V43" i="22"/>
  <c r="U43" i="22"/>
  <c r="T43" i="22"/>
  <c r="P43" i="22"/>
  <c r="O43" i="22"/>
  <c r="N43" i="22"/>
  <c r="M43" i="22"/>
  <c r="L43" i="22"/>
  <c r="K43" i="22"/>
  <c r="J43" i="22"/>
  <c r="AB42" i="22"/>
  <c r="AA42" i="22"/>
  <c r="Z42" i="22"/>
  <c r="Y42" i="22"/>
  <c r="X42" i="22"/>
  <c r="W42" i="22"/>
  <c r="V42" i="22"/>
  <c r="U42" i="22"/>
  <c r="T42" i="22"/>
  <c r="P42" i="22"/>
  <c r="O42" i="22"/>
  <c r="N42" i="22"/>
  <c r="M42" i="22"/>
  <c r="L42" i="22"/>
  <c r="K42" i="22"/>
  <c r="J42" i="22"/>
  <c r="AB41" i="22"/>
  <c r="AA41" i="22"/>
  <c r="Z41" i="22"/>
  <c r="Y41" i="22"/>
  <c r="X41" i="22"/>
  <c r="W41" i="22"/>
  <c r="V41" i="22"/>
  <c r="U41" i="22"/>
  <c r="T41" i="22"/>
  <c r="P41" i="22"/>
  <c r="O41" i="22"/>
  <c r="N41" i="22"/>
  <c r="M41" i="22"/>
  <c r="L41" i="22"/>
  <c r="K41" i="22"/>
  <c r="J41" i="22"/>
  <c r="AB40" i="22"/>
  <c r="AA40" i="22"/>
  <c r="Z40" i="22"/>
  <c r="Y40" i="22"/>
  <c r="X40" i="22"/>
  <c r="W40" i="22"/>
  <c r="V40" i="22"/>
  <c r="U40" i="22"/>
  <c r="T40" i="22"/>
  <c r="P40" i="22"/>
  <c r="O40" i="22"/>
  <c r="N40" i="22"/>
  <c r="M40" i="22"/>
  <c r="L40" i="22"/>
  <c r="K40" i="22"/>
  <c r="J40" i="22"/>
  <c r="AB39" i="22"/>
  <c r="AA39" i="22"/>
  <c r="Z39" i="22"/>
  <c r="Y39" i="22"/>
  <c r="X39" i="22"/>
  <c r="W39" i="22"/>
  <c r="V39" i="22"/>
  <c r="U39" i="22"/>
  <c r="T39" i="22"/>
  <c r="P39" i="22"/>
  <c r="O39" i="22"/>
  <c r="N39" i="22"/>
  <c r="M39" i="22"/>
  <c r="L39" i="22"/>
  <c r="K39" i="22"/>
  <c r="J39" i="22"/>
  <c r="AB33" i="22"/>
  <c r="AA33" i="22"/>
  <c r="Z33" i="22"/>
  <c r="Y33" i="22"/>
  <c r="X33" i="22"/>
  <c r="W33" i="22"/>
  <c r="V33" i="22"/>
  <c r="U33" i="22"/>
  <c r="T33" i="22"/>
  <c r="P33" i="22"/>
  <c r="O33" i="22"/>
  <c r="N33" i="22"/>
  <c r="M33" i="22"/>
  <c r="L33" i="22"/>
  <c r="K33" i="22"/>
  <c r="J33" i="22"/>
  <c r="AB32" i="22"/>
  <c r="AA32" i="22"/>
  <c r="Z32" i="22"/>
  <c r="Y32" i="22"/>
  <c r="X32" i="22"/>
  <c r="W32" i="22"/>
  <c r="V32" i="22"/>
  <c r="U32" i="22"/>
  <c r="T32" i="22"/>
  <c r="P32" i="22"/>
  <c r="O32" i="22"/>
  <c r="N32" i="22"/>
  <c r="M32" i="22"/>
  <c r="L32" i="22"/>
  <c r="K32" i="22"/>
  <c r="J32" i="22"/>
  <c r="AB31" i="22"/>
  <c r="AA31" i="22"/>
  <c r="Z31" i="22"/>
  <c r="Y31" i="22"/>
  <c r="X31" i="22"/>
  <c r="W31" i="22"/>
  <c r="V31" i="22"/>
  <c r="U31" i="22"/>
  <c r="T31" i="22"/>
  <c r="P31" i="22"/>
  <c r="O31" i="22"/>
  <c r="N31" i="22"/>
  <c r="M31" i="22"/>
  <c r="L31" i="22"/>
  <c r="K31" i="22"/>
  <c r="J31" i="22"/>
  <c r="AB30" i="22"/>
  <c r="AA30" i="22"/>
  <c r="Z30" i="22"/>
  <c r="Y30" i="22"/>
  <c r="X30" i="22"/>
  <c r="W30" i="22"/>
  <c r="V30" i="22"/>
  <c r="U30" i="22"/>
  <c r="T30" i="22"/>
  <c r="P30" i="22"/>
  <c r="O30" i="22"/>
  <c r="N30" i="22"/>
  <c r="M30" i="22"/>
  <c r="L30" i="22"/>
  <c r="K30" i="22"/>
  <c r="J30" i="22"/>
  <c r="T34" i="70"/>
  <c r="T52" i="70" s="1"/>
  <c r="T31" i="80" s="1"/>
  <c r="P34" i="70"/>
  <c r="P52" i="70" s="1"/>
  <c r="O34" i="70"/>
  <c r="O52" i="70" s="1"/>
  <c r="O31" i="80" s="1"/>
  <c r="N34" i="70"/>
  <c r="N52" i="70" s="1"/>
  <c r="N31" i="80" s="1"/>
  <c r="M34" i="70"/>
  <c r="M52" i="70" s="1"/>
  <c r="M31" i="80" s="1"/>
  <c r="L34" i="70"/>
  <c r="L52" i="70" s="1"/>
  <c r="L31" i="80" s="1"/>
  <c r="K34" i="70"/>
  <c r="K52" i="70" s="1"/>
  <c r="K31" i="80" s="1"/>
  <c r="J34" i="70"/>
  <c r="J52" i="70" s="1"/>
  <c r="T33" i="70"/>
  <c r="T51" i="70" s="1"/>
  <c r="T30" i="80" s="1"/>
  <c r="P33" i="70"/>
  <c r="P51" i="70" s="1"/>
  <c r="O33" i="70"/>
  <c r="O51" i="70" s="1"/>
  <c r="N33" i="70"/>
  <c r="N51" i="70" s="1"/>
  <c r="M33" i="70"/>
  <c r="M51" i="70" s="1"/>
  <c r="L33" i="70"/>
  <c r="L51" i="70" s="1"/>
  <c r="L30" i="80" s="1"/>
  <c r="K33" i="70"/>
  <c r="K51" i="70" s="1"/>
  <c r="K30" i="80" s="1"/>
  <c r="J33" i="70"/>
  <c r="J51" i="70" s="1"/>
  <c r="T32" i="70"/>
  <c r="T50" i="70" s="1"/>
  <c r="T29" i="80" s="1"/>
  <c r="P32" i="70"/>
  <c r="P50" i="70" s="1"/>
  <c r="O32" i="70"/>
  <c r="O50" i="70" s="1"/>
  <c r="O29" i="80" s="1"/>
  <c r="N32" i="70"/>
  <c r="N50" i="70" s="1"/>
  <c r="N29" i="80" s="1"/>
  <c r="M32" i="70"/>
  <c r="M50" i="70" s="1"/>
  <c r="M118" i="71" s="1"/>
  <c r="L32" i="70"/>
  <c r="L50" i="70" s="1"/>
  <c r="L29" i="80" s="1"/>
  <c r="K32" i="70"/>
  <c r="K50" i="70" s="1"/>
  <c r="K29" i="80" s="1"/>
  <c r="J32" i="70"/>
  <c r="J50" i="70" s="1"/>
  <c r="T31" i="70"/>
  <c r="P31" i="70"/>
  <c r="O31" i="70"/>
  <c r="N31" i="70"/>
  <c r="M31" i="70"/>
  <c r="L31" i="70"/>
  <c r="K31" i="70"/>
  <c r="J31" i="70"/>
  <c r="T30" i="70"/>
  <c r="T49" i="70" s="1"/>
  <c r="T28" i="80" s="1"/>
  <c r="P30" i="70"/>
  <c r="P49" i="70" s="1"/>
  <c r="O30" i="70"/>
  <c r="O48" i="70" s="1"/>
  <c r="O27" i="80" s="1"/>
  <c r="N30" i="70"/>
  <c r="N48" i="70" s="1"/>
  <c r="N27" i="80" s="1"/>
  <c r="M30" i="70"/>
  <c r="M48" i="70" s="1"/>
  <c r="M27" i="80" s="1"/>
  <c r="L30" i="70"/>
  <c r="L48" i="70" s="1"/>
  <c r="L27" i="80" s="1"/>
  <c r="K30" i="70"/>
  <c r="K49" i="70" s="1"/>
  <c r="K28" i="80" s="1"/>
  <c r="J30" i="70"/>
  <c r="J49" i="70" s="1"/>
  <c r="T29" i="70"/>
  <c r="T47" i="70" s="1"/>
  <c r="T26" i="80" s="1"/>
  <c r="P29" i="70"/>
  <c r="P47" i="70" s="1"/>
  <c r="O29" i="70"/>
  <c r="O47" i="70" s="1"/>
  <c r="N29" i="70"/>
  <c r="N47" i="70" s="1"/>
  <c r="N26" i="80" s="1"/>
  <c r="M29" i="70"/>
  <c r="M47" i="70" s="1"/>
  <c r="L29" i="70"/>
  <c r="L47" i="70" s="1"/>
  <c r="L26" i="80" s="1"/>
  <c r="K29" i="70"/>
  <c r="K47" i="70" s="1"/>
  <c r="K26" i="80" s="1"/>
  <c r="J29" i="70"/>
  <c r="J47" i="70" s="1"/>
  <c r="T28" i="70"/>
  <c r="T46" i="70" s="1"/>
  <c r="T25" i="80" s="1"/>
  <c r="P28" i="70"/>
  <c r="P46" i="70" s="1"/>
  <c r="O28" i="70"/>
  <c r="O46" i="70" s="1"/>
  <c r="O25" i="80" s="1"/>
  <c r="N28" i="70"/>
  <c r="N46" i="70" s="1"/>
  <c r="N25" i="80" s="1"/>
  <c r="M28" i="70"/>
  <c r="M46" i="70" s="1"/>
  <c r="M25" i="80" s="1"/>
  <c r="L28" i="70"/>
  <c r="L46" i="70" s="1"/>
  <c r="L25" i="80" s="1"/>
  <c r="K28" i="70"/>
  <c r="K46" i="70" s="1"/>
  <c r="K25" i="80" s="1"/>
  <c r="J28" i="70"/>
  <c r="J46" i="70" s="1"/>
  <c r="T27" i="70"/>
  <c r="P27" i="70"/>
  <c r="O27" i="70"/>
  <c r="N27" i="70"/>
  <c r="M27" i="70"/>
  <c r="L27" i="70"/>
  <c r="K27" i="70"/>
  <c r="J27" i="70"/>
  <c r="T26" i="70"/>
  <c r="P26" i="70"/>
  <c r="O26" i="70"/>
  <c r="N26" i="70"/>
  <c r="M26" i="70"/>
  <c r="L26" i="70"/>
  <c r="K26" i="70"/>
  <c r="J26" i="70"/>
  <c r="T25" i="70"/>
  <c r="P25" i="70"/>
  <c r="O25" i="70"/>
  <c r="N25" i="70"/>
  <c r="M25" i="70"/>
  <c r="L25" i="70"/>
  <c r="K25" i="70"/>
  <c r="J25" i="70"/>
  <c r="AA91" i="53" l="1"/>
  <c r="AA267" i="53" s="1"/>
  <c r="T91" i="53"/>
  <c r="T267" i="53" s="1"/>
  <c r="U91" i="53"/>
  <c r="U267" i="53" s="1"/>
  <c r="AB91" i="53"/>
  <c r="AB267" i="53" s="1"/>
  <c r="X91" i="53"/>
  <c r="X267" i="53" s="1"/>
  <c r="Y91" i="53"/>
  <c r="Y267" i="53" s="1"/>
  <c r="M89" i="53"/>
  <c r="X89" i="53"/>
  <c r="J89" i="53"/>
  <c r="N89" i="53"/>
  <c r="U89" i="53"/>
  <c r="Y89" i="53"/>
  <c r="T89" i="53"/>
  <c r="AB89" i="53"/>
  <c r="K89" i="53"/>
  <c r="O89" i="53"/>
  <c r="V89" i="53"/>
  <c r="Z89" i="53"/>
  <c r="L89" i="53"/>
  <c r="P89" i="53"/>
  <c r="W89" i="53"/>
  <c r="AA89" i="53"/>
  <c r="V24" i="65"/>
  <c r="V94" i="65" s="1"/>
  <c r="Z24" i="65"/>
  <c r="Z94" i="65" s="1"/>
  <c r="Z105" i="65" s="1"/>
  <c r="V25" i="65"/>
  <c r="V95" i="65" s="1"/>
  <c r="Z25" i="65"/>
  <c r="Z95" i="65" s="1"/>
  <c r="Z106" i="65" s="1"/>
  <c r="W24" i="65"/>
  <c r="W94" i="65" s="1"/>
  <c r="AA24" i="65"/>
  <c r="AA94" i="65" s="1"/>
  <c r="W25" i="65"/>
  <c r="W95" i="65" s="1"/>
  <c r="AA25" i="65"/>
  <c r="AA95" i="65" s="1"/>
  <c r="X24" i="65"/>
  <c r="X94" i="65" s="1"/>
  <c r="X105" i="65" s="1"/>
  <c r="AB24" i="65"/>
  <c r="AB94" i="65" s="1"/>
  <c r="AB105" i="65" s="1"/>
  <c r="X25" i="65"/>
  <c r="X95" i="65" s="1"/>
  <c r="X106" i="65" s="1"/>
  <c r="AB25" i="65"/>
  <c r="AB95" i="65" s="1"/>
  <c r="AB106" i="65" s="1"/>
  <c r="U24" i="65"/>
  <c r="U94" i="65" s="1"/>
  <c r="Y24" i="65"/>
  <c r="Y94" i="65" s="1"/>
  <c r="U25" i="65"/>
  <c r="U95" i="65" s="1"/>
  <c r="Y25" i="65"/>
  <c r="Y95" i="65" s="1"/>
  <c r="M24" i="53"/>
  <c r="V24" i="53"/>
  <c r="J100" i="73"/>
  <c r="J87" i="72"/>
  <c r="J118" i="71"/>
  <c r="N88" i="72"/>
  <c r="N119" i="71"/>
  <c r="N101" i="73"/>
  <c r="K96" i="73"/>
  <c r="K83" i="72"/>
  <c r="K114" i="71"/>
  <c r="T96" i="73"/>
  <c r="T83" i="72"/>
  <c r="T114" i="71"/>
  <c r="M97" i="73"/>
  <c r="M84" i="72"/>
  <c r="M115" i="71"/>
  <c r="O97" i="73"/>
  <c r="O84" i="72"/>
  <c r="O115" i="71"/>
  <c r="K99" i="73"/>
  <c r="K117" i="71"/>
  <c r="T99" i="73"/>
  <c r="T86" i="72"/>
  <c r="K100" i="73"/>
  <c r="K87" i="72"/>
  <c r="K118" i="71"/>
  <c r="T100" i="73"/>
  <c r="T87" i="72"/>
  <c r="T118" i="71"/>
  <c r="M101" i="73"/>
  <c r="M88" i="72"/>
  <c r="M119" i="71"/>
  <c r="O101" i="73"/>
  <c r="O88" i="72"/>
  <c r="O119" i="71"/>
  <c r="K102" i="73"/>
  <c r="K89" i="72"/>
  <c r="K120" i="71"/>
  <c r="T102" i="73"/>
  <c r="T89" i="72"/>
  <c r="T120" i="71"/>
  <c r="Z25" i="53"/>
  <c r="Z26" i="53"/>
  <c r="N30" i="80"/>
  <c r="K86" i="72"/>
  <c r="O89" i="72"/>
  <c r="P96" i="73"/>
  <c r="P83" i="72"/>
  <c r="P114" i="71"/>
  <c r="N84" i="72"/>
  <c r="N97" i="73"/>
  <c r="N115" i="71"/>
  <c r="P99" i="73"/>
  <c r="P86" i="72"/>
  <c r="P117" i="71"/>
  <c r="P100" i="73"/>
  <c r="P87" i="72"/>
  <c r="P118" i="71"/>
  <c r="J102" i="73"/>
  <c r="J89" i="72"/>
  <c r="J120" i="71"/>
  <c r="L83" i="72"/>
  <c r="L96" i="73"/>
  <c r="L114" i="71"/>
  <c r="N83" i="72"/>
  <c r="N96" i="73"/>
  <c r="N114" i="71"/>
  <c r="J97" i="73"/>
  <c r="J84" i="72"/>
  <c r="J115" i="71"/>
  <c r="P97" i="73"/>
  <c r="P84" i="72"/>
  <c r="P115" i="71"/>
  <c r="L85" i="72"/>
  <c r="L116" i="71"/>
  <c r="L98" i="73"/>
  <c r="N85" i="72"/>
  <c r="N116" i="71"/>
  <c r="N98" i="73"/>
  <c r="L87" i="72"/>
  <c r="L118" i="71"/>
  <c r="L100" i="73"/>
  <c r="N87" i="72"/>
  <c r="N118" i="71"/>
  <c r="N100" i="73"/>
  <c r="J101" i="73"/>
  <c r="J88" i="72"/>
  <c r="J119" i="71"/>
  <c r="P101" i="73"/>
  <c r="P88" i="72"/>
  <c r="P119" i="71"/>
  <c r="L89" i="72"/>
  <c r="L120" i="71"/>
  <c r="L102" i="73"/>
  <c r="N89" i="72"/>
  <c r="N120" i="71"/>
  <c r="N102" i="73"/>
  <c r="V26" i="53"/>
  <c r="M26" i="80"/>
  <c r="O26" i="80"/>
  <c r="M29" i="80"/>
  <c r="M30" i="80"/>
  <c r="O30" i="80"/>
  <c r="J96" i="73"/>
  <c r="J83" i="72"/>
  <c r="J114" i="71"/>
  <c r="L84" i="72"/>
  <c r="L97" i="73"/>
  <c r="L115" i="71"/>
  <c r="J99" i="73"/>
  <c r="J86" i="72"/>
  <c r="J117" i="71"/>
  <c r="L88" i="72"/>
  <c r="L119" i="71"/>
  <c r="L101" i="73"/>
  <c r="P102" i="73"/>
  <c r="P89" i="72"/>
  <c r="P120" i="71"/>
  <c r="M96" i="73"/>
  <c r="M114" i="71"/>
  <c r="M83" i="72"/>
  <c r="O96" i="73"/>
  <c r="O83" i="72"/>
  <c r="O114" i="71"/>
  <c r="K97" i="73"/>
  <c r="K84" i="72"/>
  <c r="K115" i="71"/>
  <c r="T97" i="73"/>
  <c r="T84" i="72"/>
  <c r="T115" i="71"/>
  <c r="M98" i="73"/>
  <c r="M85" i="72"/>
  <c r="M116" i="71"/>
  <c r="O98" i="73"/>
  <c r="O85" i="72"/>
  <c r="O116" i="71"/>
  <c r="M100" i="73"/>
  <c r="M87" i="72"/>
  <c r="O100" i="73"/>
  <c r="O87" i="72"/>
  <c r="O118" i="71"/>
  <c r="K101" i="73"/>
  <c r="K88" i="72"/>
  <c r="K119" i="71"/>
  <c r="T101" i="73"/>
  <c r="T88" i="72"/>
  <c r="T119" i="71"/>
  <c r="M102" i="73"/>
  <c r="M89" i="72"/>
  <c r="M120" i="71"/>
  <c r="O102" i="73"/>
  <c r="O120" i="71"/>
  <c r="M25" i="53"/>
  <c r="J25" i="80"/>
  <c r="P25" i="80"/>
  <c r="J26" i="80"/>
  <c r="P26" i="80"/>
  <c r="J28" i="80"/>
  <c r="P28" i="80"/>
  <c r="J29" i="80"/>
  <c r="P29" i="80"/>
  <c r="J30" i="80"/>
  <c r="P30" i="80"/>
  <c r="J31" i="80"/>
  <c r="P31" i="80"/>
  <c r="T117" i="71"/>
  <c r="N25" i="53"/>
  <c r="Y26" i="53"/>
  <c r="L26" i="53"/>
  <c r="L25" i="53"/>
  <c r="L24" i="53"/>
  <c r="U26" i="53"/>
  <c r="U25" i="53"/>
  <c r="U24" i="53"/>
  <c r="N24" i="53"/>
  <c r="J25" i="53"/>
  <c r="P25" i="53"/>
  <c r="Y25" i="53"/>
  <c r="AA25" i="53"/>
  <c r="W26" i="53"/>
  <c r="J24" i="53"/>
  <c r="P24" i="53"/>
  <c r="Y24" i="53"/>
  <c r="AA24" i="53"/>
  <c r="W25" i="53"/>
  <c r="O24" i="53"/>
  <c r="O25" i="53"/>
  <c r="O26" i="53"/>
  <c r="M204" i="80"/>
  <c r="K24" i="53"/>
  <c r="T24" i="53"/>
  <c r="X24" i="53"/>
  <c r="AB24" i="53"/>
  <c r="K25" i="53"/>
  <c r="T25" i="53"/>
  <c r="X25" i="53"/>
  <c r="AB25" i="53"/>
  <c r="K26" i="53"/>
  <c r="T26" i="53"/>
  <c r="X26" i="53"/>
  <c r="AB26" i="53"/>
  <c r="K48" i="70"/>
  <c r="T48" i="70"/>
  <c r="O49" i="70"/>
  <c r="L49" i="70"/>
  <c r="M49" i="70"/>
  <c r="J48" i="70"/>
  <c r="P48" i="70"/>
  <c r="N49" i="70"/>
  <c r="X85" i="22"/>
  <c r="X84" i="22"/>
  <c r="X74" i="22"/>
  <c r="X65" i="65" s="1"/>
  <c r="X73" i="22"/>
  <c r="X56" i="65" s="1"/>
  <c r="AB85" i="22"/>
  <c r="AB84" i="22"/>
  <c r="AB57" i="65" s="1"/>
  <c r="AB74" i="22"/>
  <c r="AB73" i="22"/>
  <c r="AB56" i="65" s="1"/>
  <c r="X100" i="22"/>
  <c r="X99" i="22"/>
  <c r="X58" i="65" s="1"/>
  <c r="AB100" i="22"/>
  <c r="AB99" i="22"/>
  <c r="AB58" i="65" s="1"/>
  <c r="X111" i="22"/>
  <c r="X110" i="22"/>
  <c r="X59" i="65" s="1"/>
  <c r="AB111" i="22"/>
  <c r="AB110" i="22"/>
  <c r="X122" i="22"/>
  <c r="X121" i="22"/>
  <c r="AB121" i="22"/>
  <c r="AB60" i="65" s="1"/>
  <c r="AB122" i="22"/>
  <c r="AB69" i="65" s="1"/>
  <c r="X133" i="22"/>
  <c r="X132" i="22"/>
  <c r="X61" i="65" s="1"/>
  <c r="AB133" i="22"/>
  <c r="AB70" i="65" s="1"/>
  <c r="AB132" i="22"/>
  <c r="AB61" i="65" s="1"/>
  <c r="X62" i="22"/>
  <c r="AB62" i="22"/>
  <c r="X63" i="22"/>
  <c r="AB63" i="22"/>
  <c r="U85" i="22"/>
  <c r="U66" i="65" s="1"/>
  <c r="U84" i="22"/>
  <c r="U57" i="65" s="1"/>
  <c r="U74" i="22"/>
  <c r="U65" i="65" s="1"/>
  <c r="U73" i="22"/>
  <c r="U56" i="65" s="1"/>
  <c r="Y74" i="22"/>
  <c r="Y73" i="22"/>
  <c r="Y85" i="22"/>
  <c r="Y66" i="65" s="1"/>
  <c r="Y84" i="22"/>
  <c r="Y57" i="65" s="1"/>
  <c r="U100" i="22"/>
  <c r="U99" i="22"/>
  <c r="U58" i="65" s="1"/>
  <c r="Y100" i="22"/>
  <c r="Y99" i="22"/>
  <c r="Y58" i="65" s="1"/>
  <c r="U111" i="22"/>
  <c r="U110" i="22"/>
  <c r="U59" i="65" s="1"/>
  <c r="Y111" i="22"/>
  <c r="Y68" i="65" s="1"/>
  <c r="Y110" i="22"/>
  <c r="Y59" i="65" s="1"/>
  <c r="U122" i="22"/>
  <c r="U121" i="22"/>
  <c r="Y122" i="22"/>
  <c r="Y69" i="65" s="1"/>
  <c r="Y121" i="22"/>
  <c r="Y60" i="65" s="1"/>
  <c r="U133" i="22"/>
  <c r="U132" i="22"/>
  <c r="Y133" i="22"/>
  <c r="Y70" i="65" s="1"/>
  <c r="Y132" i="22"/>
  <c r="Y61" i="65" s="1"/>
  <c r="U62" i="22"/>
  <c r="Y62" i="22"/>
  <c r="U63" i="22"/>
  <c r="Y63" i="22"/>
  <c r="V85" i="22"/>
  <c r="V84" i="22"/>
  <c r="V57" i="65" s="1"/>
  <c r="V74" i="22"/>
  <c r="V65" i="65" s="1"/>
  <c r="V73" i="22"/>
  <c r="V56" i="65" s="1"/>
  <c r="Z85" i="22"/>
  <c r="Z66" i="65" s="1"/>
  <c r="Z84" i="22"/>
  <c r="Z57" i="65" s="1"/>
  <c r="Z74" i="22"/>
  <c r="Z65" i="65" s="1"/>
  <c r="Z73" i="22"/>
  <c r="Z56" i="65" s="1"/>
  <c r="V100" i="22"/>
  <c r="V67" i="65" s="1"/>
  <c r="V99" i="22"/>
  <c r="V58" i="65" s="1"/>
  <c r="Z100" i="22"/>
  <c r="Z67" i="65" s="1"/>
  <c r="Z99" i="22"/>
  <c r="Z58" i="65" s="1"/>
  <c r="V111" i="22"/>
  <c r="V110" i="22"/>
  <c r="V59" i="65" s="1"/>
  <c r="Z111" i="22"/>
  <c r="Z68" i="65" s="1"/>
  <c r="Z110" i="22"/>
  <c r="Z59" i="65" s="1"/>
  <c r="V121" i="22"/>
  <c r="V122" i="22"/>
  <c r="V69" i="65" s="1"/>
  <c r="Z122" i="22"/>
  <c r="Z121" i="22"/>
  <c r="Z60" i="65" s="1"/>
  <c r="V133" i="22"/>
  <c r="V132" i="22"/>
  <c r="Z133" i="22"/>
  <c r="Z70" i="65" s="1"/>
  <c r="Z132" i="22"/>
  <c r="Z61" i="65" s="1"/>
  <c r="V62" i="22"/>
  <c r="Z62" i="22"/>
  <c r="V63" i="22"/>
  <c r="Z63" i="22"/>
  <c r="W85" i="22"/>
  <c r="W84" i="22"/>
  <c r="W74" i="22"/>
  <c r="W73" i="22"/>
  <c r="AA85" i="22"/>
  <c r="AA66" i="65" s="1"/>
  <c r="AA84" i="22"/>
  <c r="AA74" i="22"/>
  <c r="AA73" i="22"/>
  <c r="W100" i="22"/>
  <c r="W99" i="22"/>
  <c r="AA100" i="22"/>
  <c r="AA67" i="65" s="1"/>
  <c r="AA99" i="22"/>
  <c r="AA58" i="65" s="1"/>
  <c r="W111" i="22"/>
  <c r="W110" i="22"/>
  <c r="AA111" i="22"/>
  <c r="AA68" i="65" s="1"/>
  <c r="AA110" i="22"/>
  <c r="AA59" i="65" s="1"/>
  <c r="W122" i="22"/>
  <c r="W69" i="65" s="1"/>
  <c r="W121" i="22"/>
  <c r="AA122" i="22"/>
  <c r="AA69" i="65" s="1"/>
  <c r="AA121" i="22"/>
  <c r="W133" i="22"/>
  <c r="W132" i="22"/>
  <c r="AA133" i="22"/>
  <c r="AA70" i="65" s="1"/>
  <c r="AA132" i="22"/>
  <c r="AA61" i="65" s="1"/>
  <c r="W62" i="22"/>
  <c r="AA62" i="22"/>
  <c r="W63" i="22"/>
  <c r="AA63" i="22"/>
  <c r="U105" i="65" l="1"/>
  <c r="U36" i="82"/>
  <c r="W105" i="65"/>
  <c r="W36" i="82"/>
  <c r="AA105" i="65"/>
  <c r="Y36" i="82"/>
  <c r="V106" i="65"/>
  <c r="V37" i="82"/>
  <c r="W106" i="65"/>
  <c r="W37" i="82"/>
  <c r="U106" i="65"/>
  <c r="U37" i="82"/>
  <c r="V105" i="65"/>
  <c r="V36" i="82"/>
  <c r="Y105" i="65"/>
  <c r="X36" i="82"/>
  <c r="Y106" i="65"/>
  <c r="X37" i="82"/>
  <c r="AA106" i="65"/>
  <c r="Y37" i="82"/>
  <c r="Y113" i="22"/>
  <c r="AA101" i="22"/>
  <c r="Z75" i="22"/>
  <c r="Y135" i="22"/>
  <c r="AA113" i="22"/>
  <c r="Z113" i="22"/>
  <c r="Z135" i="22"/>
  <c r="AA124" i="22"/>
  <c r="U87" i="22"/>
  <c r="X134" i="22"/>
  <c r="U101" i="22"/>
  <c r="AA134" i="22"/>
  <c r="AB86" i="22"/>
  <c r="U86" i="22"/>
  <c r="U112" i="22"/>
  <c r="AA87" i="22"/>
  <c r="X112" i="22"/>
  <c r="Z134" i="22"/>
  <c r="AB134" i="22"/>
  <c r="Z101" i="22"/>
  <c r="V75" i="22"/>
  <c r="Y87" i="22"/>
  <c r="V124" i="22"/>
  <c r="Z123" i="22"/>
  <c r="Z112" i="22"/>
  <c r="X101" i="22"/>
  <c r="Z76" i="22"/>
  <c r="Z77" i="22" s="1"/>
  <c r="U76" i="22"/>
  <c r="AB124" i="22"/>
  <c r="Y112" i="22"/>
  <c r="U75" i="22"/>
  <c r="AA135" i="22"/>
  <c r="Y134" i="22"/>
  <c r="AB123" i="22"/>
  <c r="Y101" i="22"/>
  <c r="V102" i="22"/>
  <c r="Y86" i="22"/>
  <c r="AB75" i="22"/>
  <c r="AA102" i="22"/>
  <c r="Y123" i="22"/>
  <c r="Y124" i="22"/>
  <c r="AB101" i="22"/>
  <c r="V86" i="22"/>
  <c r="X75" i="22"/>
  <c r="Y67" i="65"/>
  <c r="Y102" i="22"/>
  <c r="AB65" i="65"/>
  <c r="AB76" i="22"/>
  <c r="W67" i="65"/>
  <c r="W102" i="22"/>
  <c r="W68" i="65"/>
  <c r="W113" i="22"/>
  <c r="Z69" i="65"/>
  <c r="Z124" i="22"/>
  <c r="U60" i="65"/>
  <c r="U123" i="22"/>
  <c r="X57" i="65"/>
  <c r="X86" i="22"/>
  <c r="X76" i="22"/>
  <c r="AB67" i="65"/>
  <c r="AB102" i="22"/>
  <c r="AB135" i="22"/>
  <c r="W124" i="22"/>
  <c r="V112" i="22"/>
  <c r="Z102" i="22"/>
  <c r="V101" i="22"/>
  <c r="Z86" i="22"/>
  <c r="W70" i="65"/>
  <c r="W135" i="22"/>
  <c r="W66" i="65"/>
  <c r="W87" i="22"/>
  <c r="V61" i="65"/>
  <c r="V134" i="22"/>
  <c r="U61" i="65"/>
  <c r="U134" i="22"/>
  <c r="Y56" i="65"/>
  <c r="Y75" i="22"/>
  <c r="X60" i="65"/>
  <c r="X123" i="22"/>
  <c r="Z87" i="22"/>
  <c r="W61" i="65"/>
  <c r="W134" i="22"/>
  <c r="W59" i="65"/>
  <c r="W112" i="22"/>
  <c r="W58" i="65"/>
  <c r="W101" i="22"/>
  <c r="AA57" i="65"/>
  <c r="AA86" i="22"/>
  <c r="W57" i="65"/>
  <c r="W86" i="22"/>
  <c r="W123" i="22"/>
  <c r="W60" i="65"/>
  <c r="V70" i="65"/>
  <c r="V135" i="22"/>
  <c r="V123" i="22"/>
  <c r="V60" i="65"/>
  <c r="V68" i="65"/>
  <c r="V113" i="22"/>
  <c r="V66" i="65"/>
  <c r="V87" i="22"/>
  <c r="U70" i="65"/>
  <c r="U135" i="22"/>
  <c r="U69" i="65"/>
  <c r="U124" i="22"/>
  <c r="U113" i="22"/>
  <c r="U68" i="65"/>
  <c r="U67" i="65"/>
  <c r="U102" i="22"/>
  <c r="Y65" i="65"/>
  <c r="Y76" i="22"/>
  <c r="X65" i="22"/>
  <c r="X64" i="65"/>
  <c r="X64" i="22"/>
  <c r="X55" i="65"/>
  <c r="X70" i="65"/>
  <c r="X135" i="22"/>
  <c r="X69" i="65"/>
  <c r="X124" i="22"/>
  <c r="X68" i="65"/>
  <c r="X113" i="22"/>
  <c r="X67" i="65"/>
  <c r="X102" i="22"/>
  <c r="AB66" i="65"/>
  <c r="AB87" i="22"/>
  <c r="X66" i="65"/>
  <c r="X87" i="22"/>
  <c r="W65" i="22"/>
  <c r="W64" i="65"/>
  <c r="W64" i="22"/>
  <c r="W55" i="65"/>
  <c r="AB65" i="22"/>
  <c r="AB64" i="65"/>
  <c r="AB64" i="22"/>
  <c r="AB55" i="65"/>
  <c r="AB112" i="22"/>
  <c r="AB59" i="65"/>
  <c r="P98" i="73"/>
  <c r="P85" i="72"/>
  <c r="P116" i="71"/>
  <c r="P27" i="80"/>
  <c r="M99" i="73"/>
  <c r="M86" i="72"/>
  <c r="M117" i="71"/>
  <c r="M28" i="80"/>
  <c r="O99" i="73"/>
  <c r="O86" i="72"/>
  <c r="O117" i="71"/>
  <c r="O28" i="80"/>
  <c r="K98" i="73"/>
  <c r="K85" i="72"/>
  <c r="K116" i="71"/>
  <c r="K27" i="80"/>
  <c r="AA65" i="22"/>
  <c r="AA64" i="65"/>
  <c r="AA64" i="22"/>
  <c r="AA55" i="65"/>
  <c r="AA123" i="22"/>
  <c r="AA60" i="65"/>
  <c r="AA75" i="22"/>
  <c r="AA56" i="65"/>
  <c r="W75" i="22"/>
  <c r="W56" i="65"/>
  <c r="V65" i="22"/>
  <c r="V64" i="65"/>
  <c r="V64" i="22"/>
  <c r="V55" i="65"/>
  <c r="U65" i="22"/>
  <c r="U64" i="65"/>
  <c r="U64" i="22"/>
  <c r="U55" i="65"/>
  <c r="AB113" i="22"/>
  <c r="AB68" i="65"/>
  <c r="N86" i="72"/>
  <c r="N117" i="71"/>
  <c r="N99" i="73"/>
  <c r="N28" i="80"/>
  <c r="J98" i="73"/>
  <c r="J85" i="72"/>
  <c r="J116" i="71"/>
  <c r="J27" i="80"/>
  <c r="AA112" i="22"/>
  <c r="AA114" i="22" s="1"/>
  <c r="V76" i="22"/>
  <c r="AA76" i="22"/>
  <c r="AA65" i="65"/>
  <c r="W76" i="22"/>
  <c r="W65" i="65"/>
  <c r="Z65" i="22"/>
  <c r="Z64" i="65"/>
  <c r="Z64" i="22"/>
  <c r="Z55" i="65"/>
  <c r="Y65" i="22"/>
  <c r="Y64" i="65"/>
  <c r="Y64" i="22"/>
  <c r="Y55" i="65"/>
  <c r="L86" i="72"/>
  <c r="L117" i="71"/>
  <c r="L99" i="73"/>
  <c r="L28" i="80"/>
  <c r="T98" i="73"/>
  <c r="T85" i="72"/>
  <c r="T116" i="71"/>
  <c r="T27" i="80"/>
  <c r="AA103" i="22" l="1"/>
  <c r="AA16" i="111" s="1"/>
  <c r="Y114" i="22"/>
  <c r="Y33" i="41" s="1"/>
  <c r="Y154" i="41" s="1"/>
  <c r="AA136" i="22"/>
  <c r="AA35" i="41" s="1"/>
  <c r="AA156" i="41" s="1"/>
  <c r="AA125" i="22"/>
  <c r="AA34" i="41" s="1"/>
  <c r="AA155" i="41" s="1"/>
  <c r="Y136" i="22"/>
  <c r="Y35" i="41" s="1"/>
  <c r="Y156" i="41" s="1"/>
  <c r="V114" i="22"/>
  <c r="V33" i="41" s="1"/>
  <c r="V154" i="41" s="1"/>
  <c r="U88" i="22"/>
  <c r="U33" i="53" s="1"/>
  <c r="Y103" i="22"/>
  <c r="Y32" i="41" s="1"/>
  <c r="Y153" i="41" s="1"/>
  <c r="Z136" i="22"/>
  <c r="Z35" i="41" s="1"/>
  <c r="Z156" i="41" s="1"/>
  <c r="U114" i="22"/>
  <c r="U33" i="41" s="1"/>
  <c r="U154" i="41" s="1"/>
  <c r="X136" i="22"/>
  <c r="X35" i="41" s="1"/>
  <c r="X156" i="41" s="1"/>
  <c r="AB103" i="22"/>
  <c r="AB16" i="111" s="1"/>
  <c r="U103" i="22"/>
  <c r="U32" i="41" s="1"/>
  <c r="U153" i="41" s="1"/>
  <c r="AB136" i="22"/>
  <c r="AB35" i="41" s="1"/>
  <c r="AB156" i="41" s="1"/>
  <c r="U77" i="22"/>
  <c r="U30" i="41" s="1"/>
  <c r="U151" i="41" s="1"/>
  <c r="V125" i="22"/>
  <c r="V34" i="41" s="1"/>
  <c r="V155" i="41" s="1"/>
  <c r="X103" i="22"/>
  <c r="X18" i="74" s="1"/>
  <c r="AB77" i="22"/>
  <c r="AB32" i="53" s="1"/>
  <c r="Y88" i="22"/>
  <c r="Y58" i="80" s="1"/>
  <c r="Z114" i="22"/>
  <c r="Z188" i="80" s="1"/>
  <c r="X88" i="22"/>
  <c r="X31" i="41" s="1"/>
  <c r="X152" i="41" s="1"/>
  <c r="AB88" i="22"/>
  <c r="AB31" i="41" s="1"/>
  <c r="AB152" i="41" s="1"/>
  <c r="X114" i="22"/>
  <c r="X33" i="41" s="1"/>
  <c r="X154" i="41" s="1"/>
  <c r="V77" i="22"/>
  <c r="V30" i="41" s="1"/>
  <c r="V151" i="41" s="1"/>
  <c r="AA88" i="22"/>
  <c r="AA58" i="80" s="1"/>
  <c r="Y125" i="22"/>
  <c r="Y34" i="41" s="1"/>
  <c r="Y155" i="41" s="1"/>
  <c r="AB125" i="22"/>
  <c r="AB189" i="80" s="1"/>
  <c r="Z103" i="22"/>
  <c r="Z16" i="111" s="1"/>
  <c r="U136" i="22"/>
  <c r="U35" i="41" s="1"/>
  <c r="U156" i="41" s="1"/>
  <c r="W125" i="22"/>
  <c r="W189" i="80" s="1"/>
  <c r="X77" i="22"/>
  <c r="X30" i="41" s="1"/>
  <c r="X151" i="41" s="1"/>
  <c r="V88" i="22"/>
  <c r="V33" i="53" s="1"/>
  <c r="V136" i="22"/>
  <c r="V35" i="41" s="1"/>
  <c r="V156" i="41" s="1"/>
  <c r="Y66" i="22"/>
  <c r="Y29" i="41" s="1"/>
  <c r="Y150" i="41" s="1"/>
  <c r="W88" i="22"/>
  <c r="W31" i="41" s="1"/>
  <c r="W152" i="41" s="1"/>
  <c r="Z88" i="22"/>
  <c r="Z31" i="41" s="1"/>
  <c r="Z152" i="41" s="1"/>
  <c r="Z125" i="22"/>
  <c r="U66" i="22"/>
  <c r="U56" i="80" s="1"/>
  <c r="X66" i="22"/>
  <c r="Y77" i="22"/>
  <c r="Y57" i="80" s="1"/>
  <c r="W103" i="22"/>
  <c r="W18" i="74" s="1"/>
  <c r="V103" i="22"/>
  <c r="V18" i="74" s="1"/>
  <c r="AB66" i="22"/>
  <c r="W136" i="22"/>
  <c r="W35" i="41" s="1"/>
  <c r="W156" i="41" s="1"/>
  <c r="X125" i="22"/>
  <c r="X34" i="41" s="1"/>
  <c r="X155" i="41" s="1"/>
  <c r="U125" i="22"/>
  <c r="U34" i="41" s="1"/>
  <c r="U155" i="41" s="1"/>
  <c r="W114" i="22"/>
  <c r="W33" i="41" s="1"/>
  <c r="W154" i="41" s="1"/>
  <c r="Z66" i="22"/>
  <c r="Z56" i="80" s="1"/>
  <c r="V66" i="22"/>
  <c r="V31" i="53" s="1"/>
  <c r="AA77" i="22"/>
  <c r="AA57" i="80" s="1"/>
  <c r="AA66" i="22"/>
  <c r="AA29" i="41" s="1"/>
  <c r="AA150" i="41" s="1"/>
  <c r="W66" i="22"/>
  <c r="W29" i="41" s="1"/>
  <c r="W150" i="41" s="1"/>
  <c r="W77" i="22"/>
  <c r="W30" i="41" s="1"/>
  <c r="W151" i="41" s="1"/>
  <c r="AB114" i="22"/>
  <c r="AB188" i="80" s="1"/>
  <c r="AB31" i="53"/>
  <c r="Z30" i="41"/>
  <c r="Z151" i="41" s="1"/>
  <c r="Z57" i="80"/>
  <c r="Z32" i="53"/>
  <c r="AA33" i="41"/>
  <c r="AA154" i="41" s="1"/>
  <c r="AA188" i="80"/>
  <c r="AA32" i="41"/>
  <c r="AA153" i="41" s="1"/>
  <c r="AB191" i="80" l="1"/>
  <c r="AB192" i="80" s="1"/>
  <c r="Y188" i="80"/>
  <c r="AA189" i="80"/>
  <c r="AA191" i="80" s="1"/>
  <c r="AA192" i="80" s="1"/>
  <c r="AA18" i="74"/>
  <c r="Y31" i="41"/>
  <c r="Y152" i="41" s="1"/>
  <c r="U32" i="53"/>
  <c r="V188" i="80"/>
  <c r="AB92" i="22"/>
  <c r="AB17" i="111" s="1"/>
  <c r="X188" i="80"/>
  <c r="U31" i="41"/>
  <c r="U152" i="41" s="1"/>
  <c r="U57" i="80"/>
  <c r="U58" i="80"/>
  <c r="Y18" i="74"/>
  <c r="AB32" i="41"/>
  <c r="AB153" i="41" s="1"/>
  <c r="AB18" i="74"/>
  <c r="Y16" i="111"/>
  <c r="Y28" i="111" s="1"/>
  <c r="Y34" i="111" s="1"/>
  <c r="Z33" i="41"/>
  <c r="Z154" i="41" s="1"/>
  <c r="AB33" i="53"/>
  <c r="AB34" i="53" s="1"/>
  <c r="U188" i="80"/>
  <c r="AB30" i="41"/>
  <c r="AB151" i="41" s="1"/>
  <c r="AB58" i="80"/>
  <c r="W34" i="41"/>
  <c r="W155" i="41" s="1"/>
  <c r="U29" i="41"/>
  <c r="U150" i="41" s="1"/>
  <c r="U16" i="111"/>
  <c r="U28" i="111" s="1"/>
  <c r="U34" i="111" s="1"/>
  <c r="X33" i="53"/>
  <c r="AA31" i="41"/>
  <c r="AA152" i="41" s="1"/>
  <c r="V16" i="111"/>
  <c r="V28" i="111" s="1"/>
  <c r="V34" i="111" s="1"/>
  <c r="U18" i="74"/>
  <c r="U92" i="22"/>
  <c r="U17" i="111" s="1"/>
  <c r="V32" i="53"/>
  <c r="V34" i="53" s="1"/>
  <c r="U189" i="80"/>
  <c r="V189" i="80"/>
  <c r="X16" i="111"/>
  <c r="X27" i="111" s="1"/>
  <c r="X33" i="111" s="1"/>
  <c r="U31" i="53"/>
  <c r="X58" i="80"/>
  <c r="X32" i="41"/>
  <c r="X153" i="41" s="1"/>
  <c r="V57" i="80"/>
  <c r="Z18" i="74"/>
  <c r="AB57" i="80"/>
  <c r="Y33" i="53"/>
  <c r="V32" i="41"/>
  <c r="V153" i="41" s="1"/>
  <c r="V58" i="80"/>
  <c r="Y31" i="53"/>
  <c r="Y189" i="80"/>
  <c r="Y191" i="80" s="1"/>
  <c r="Y192" i="80" s="1"/>
  <c r="AB34" i="41"/>
  <c r="AB155" i="41" s="1"/>
  <c r="V31" i="41"/>
  <c r="V152" i="41" s="1"/>
  <c r="Z33" i="53"/>
  <c r="W16" i="111"/>
  <c r="W27" i="111" s="1"/>
  <c r="W33" i="111" s="1"/>
  <c r="Z58" i="80"/>
  <c r="Z59" i="80" s="1"/>
  <c r="AA33" i="53"/>
  <c r="W31" i="53"/>
  <c r="V92" i="22"/>
  <c r="V17" i="111" s="1"/>
  <c r="W58" i="80"/>
  <c r="X92" i="22"/>
  <c r="X17" i="111" s="1"/>
  <c r="X32" i="53"/>
  <c r="W33" i="53"/>
  <c r="X57" i="80"/>
  <c r="Z32" i="41"/>
  <c r="Z153" i="41" s="1"/>
  <c r="X56" i="80"/>
  <c r="Y56" i="80"/>
  <c r="Y59" i="80" s="1"/>
  <c r="AB33" i="41"/>
  <c r="AB154" i="41" s="1"/>
  <c r="X29" i="41"/>
  <c r="X150" i="41" s="1"/>
  <c r="V56" i="80"/>
  <c r="AA32" i="53"/>
  <c r="X31" i="53"/>
  <c r="AA30" i="41"/>
  <c r="AA151" i="41" s="1"/>
  <c r="Y92" i="22"/>
  <c r="Y17" i="111" s="1"/>
  <c r="Z34" i="41"/>
  <c r="Z155" i="41" s="1"/>
  <c r="Z189" i="80"/>
  <c r="Z191" i="80" s="1"/>
  <c r="Z192" i="80" s="1"/>
  <c r="W32" i="41"/>
  <c r="W153" i="41" s="1"/>
  <c r="W56" i="80"/>
  <c r="Y32" i="53"/>
  <c r="X189" i="80"/>
  <c r="X191" i="80" s="1"/>
  <c r="X192" i="80" s="1"/>
  <c r="Y30" i="41"/>
  <c r="Y151" i="41" s="1"/>
  <c r="V29" i="41"/>
  <c r="V150" i="41" s="1"/>
  <c r="AB56" i="80"/>
  <c r="AB29" i="41"/>
  <c r="AB150" i="41" s="1"/>
  <c r="AA31" i="53"/>
  <c r="AA92" i="22"/>
  <c r="AA17" i="111" s="1"/>
  <c r="Z29" i="41"/>
  <c r="Z150" i="41" s="1"/>
  <c r="W188" i="80"/>
  <c r="W191" i="80" s="1"/>
  <c r="W192" i="80" s="1"/>
  <c r="W32" i="53"/>
  <c r="W92" i="22"/>
  <c r="W17" i="111" s="1"/>
  <c r="W57" i="80"/>
  <c r="Z31" i="53"/>
  <c r="AA56" i="80"/>
  <c r="AA59" i="80" s="1"/>
  <c r="Z92" i="22"/>
  <c r="Z17" i="111" s="1"/>
  <c r="Z27" i="111"/>
  <c r="Z33" i="111" s="1"/>
  <c r="Z28" i="111"/>
  <c r="Z34" i="111" s="1"/>
  <c r="AB27" i="111"/>
  <c r="AB33" i="111" s="1"/>
  <c r="AB28" i="111"/>
  <c r="AB34" i="111" s="1"/>
  <c r="AA28" i="111"/>
  <c r="AA34" i="111" s="1"/>
  <c r="AA27" i="111"/>
  <c r="AA33" i="111" s="1"/>
  <c r="V191" i="80" l="1"/>
  <c r="V192" i="80" s="1"/>
  <c r="U59" i="80"/>
  <c r="U34" i="53"/>
  <c r="U48" i="53" s="1"/>
  <c r="U191" i="80"/>
  <c r="U192" i="80" s="1"/>
  <c r="Y27" i="111"/>
  <c r="Y33" i="111" s="1"/>
  <c r="V27" i="111"/>
  <c r="V33" i="111" s="1"/>
  <c r="U27" i="111"/>
  <c r="U33" i="111" s="1"/>
  <c r="Y34" i="53"/>
  <c r="Y48" i="53" s="1"/>
  <c r="AB59" i="80"/>
  <c r="X28" i="111"/>
  <c r="X34" i="111" s="1"/>
  <c r="U50" i="53"/>
  <c r="AB50" i="53"/>
  <c r="AB49" i="53"/>
  <c r="AB48" i="53"/>
  <c r="V50" i="53"/>
  <c r="V49" i="53"/>
  <c r="V48" i="53"/>
  <c r="W28" i="111"/>
  <c r="W34" i="111" s="1"/>
  <c r="V59" i="80"/>
  <c r="X59" i="80"/>
  <c r="Z34" i="53"/>
  <c r="X34" i="53"/>
  <c r="W59" i="80"/>
  <c r="W34" i="53"/>
  <c r="AA34" i="53"/>
  <c r="U49" i="53" l="1"/>
  <c r="Y49" i="53"/>
  <c r="Y50" i="53"/>
  <c r="Z50" i="53"/>
  <c r="Z49" i="53"/>
  <c r="Z48" i="53"/>
  <c r="AA48" i="53"/>
  <c r="AA50" i="53"/>
  <c r="AA49" i="53"/>
  <c r="W48" i="53"/>
  <c r="W50" i="53"/>
  <c r="W49" i="53"/>
  <c r="X50" i="53"/>
  <c r="X49" i="53"/>
  <c r="X48" i="53"/>
  <c r="AB170" i="90"/>
  <c r="AA170" i="90"/>
  <c r="AB169" i="90"/>
  <c r="AA169" i="90"/>
  <c r="AB168" i="90"/>
  <c r="AA168" i="90"/>
  <c r="AB167" i="90"/>
  <c r="AA167" i="90"/>
  <c r="AB166" i="90"/>
  <c r="AA166" i="90"/>
  <c r="AB225" i="53"/>
  <c r="AA293" i="73"/>
  <c r="AB293" i="73"/>
  <c r="AB93" i="74"/>
  <c r="AA93" i="74"/>
  <c r="AB91" i="74"/>
  <c r="AA90" i="74"/>
  <c r="AB89" i="74"/>
  <c r="AB87" i="74"/>
  <c r="AA87" i="74"/>
  <c r="AA86" i="74"/>
  <c r="AB85" i="74"/>
  <c r="AB79" i="74"/>
  <c r="AB77" i="74"/>
  <c r="AA77" i="74"/>
  <c r="AB75" i="74"/>
  <c r="AA75" i="74"/>
  <c r="AA74" i="74"/>
  <c r="AB73" i="74"/>
  <c r="AA84" i="74"/>
  <c r="AA72" i="74"/>
  <c r="AB103" i="41"/>
  <c r="AA103" i="41"/>
  <c r="AB186" i="105"/>
  <c r="AB183" i="105"/>
  <c r="AB181" i="105"/>
  <c r="AB175" i="105"/>
  <c r="AA175" i="105"/>
  <c r="AA173" i="105"/>
  <c r="AB172" i="105"/>
  <c r="AB170" i="105"/>
  <c r="AB158" i="105"/>
  <c r="AA158" i="105"/>
  <c r="AB130" i="105"/>
  <c r="AB108" i="105"/>
  <c r="AA100" i="105"/>
  <c r="AA96" i="105"/>
  <c r="AB100" i="105"/>
  <c r="AB98" i="105"/>
  <c r="AA98" i="105"/>
  <c r="AB96" i="105"/>
  <c r="AB94" i="105"/>
  <c r="AA94" i="105"/>
  <c r="AB110" i="105"/>
  <c r="AB107" i="105"/>
  <c r="AB106" i="105"/>
  <c r="AB105" i="105"/>
  <c r="AB136" i="105"/>
  <c r="AB99" i="105"/>
  <c r="AA99" i="105"/>
  <c r="AB95" i="105"/>
  <c r="AA95" i="105"/>
  <c r="AB185" i="105"/>
  <c r="Z170" i="90"/>
  <c r="Y170" i="90"/>
  <c r="Z169" i="90"/>
  <c r="Y169" i="90"/>
  <c r="Z168" i="90"/>
  <c r="Y168" i="90"/>
  <c r="Z167" i="90"/>
  <c r="Y167" i="90"/>
  <c r="Z166" i="90"/>
  <c r="Y166" i="90"/>
  <c r="Y78" i="83"/>
  <c r="Y226" i="53"/>
  <c r="Z293" i="73"/>
  <c r="Y293" i="73"/>
  <c r="Y93" i="74"/>
  <c r="Y91" i="74"/>
  <c r="Y89" i="74"/>
  <c r="Y87" i="74"/>
  <c r="Y85" i="74"/>
  <c r="Y79" i="74"/>
  <c r="Y77" i="74"/>
  <c r="Y75" i="74"/>
  <c r="Y73" i="74"/>
  <c r="Z103" i="41"/>
  <c r="Y103" i="41"/>
  <c r="Z187" i="105"/>
  <c r="Z186" i="105"/>
  <c r="Z185" i="105"/>
  <c r="Z183" i="105"/>
  <c r="Z182" i="105"/>
  <c r="Z176" i="105"/>
  <c r="Z175" i="105"/>
  <c r="Z174" i="105"/>
  <c r="Z172" i="105"/>
  <c r="Y172" i="105"/>
  <c r="Z171" i="105"/>
  <c r="Z136" i="105"/>
  <c r="Z130" i="105"/>
  <c r="Y129" i="105"/>
  <c r="Z109" i="105"/>
  <c r="Z107" i="105"/>
  <c r="Z104" i="105"/>
  <c r="Z100" i="105"/>
  <c r="Y95" i="105"/>
  <c r="Y97" i="105"/>
  <c r="Z96" i="105"/>
  <c r="Z94" i="105"/>
  <c r="Z110" i="105"/>
  <c r="Z108" i="105"/>
  <c r="Z105" i="105"/>
  <c r="Y100" i="105"/>
  <c r="Z99" i="105"/>
  <c r="Y99" i="105"/>
  <c r="Z98" i="105"/>
  <c r="Y98" i="105"/>
  <c r="Z129" i="105"/>
  <c r="Y96" i="105"/>
  <c r="Z95" i="105"/>
  <c r="Z135" i="105"/>
  <c r="Z184" i="105"/>
  <c r="X170" i="90"/>
  <c r="W170" i="90"/>
  <c r="X169" i="90"/>
  <c r="W169" i="90"/>
  <c r="X168" i="90"/>
  <c r="W168" i="90"/>
  <c r="X167" i="90"/>
  <c r="W167" i="90"/>
  <c r="X166" i="90"/>
  <c r="W166" i="90"/>
  <c r="W225" i="53"/>
  <c r="X78" i="83"/>
  <c r="W78" i="83"/>
  <c r="X226" i="53"/>
  <c r="X224" i="53"/>
  <c r="W293" i="73"/>
  <c r="X293" i="73"/>
  <c r="X93" i="74"/>
  <c r="W92" i="74"/>
  <c r="X91" i="74"/>
  <c r="X89" i="74"/>
  <c r="W88" i="74"/>
  <c r="X87" i="74"/>
  <c r="X85" i="74"/>
  <c r="W84" i="74"/>
  <c r="X79" i="74"/>
  <c r="X77" i="74"/>
  <c r="W76" i="74"/>
  <c r="X75" i="74"/>
  <c r="X73" i="74"/>
  <c r="W72" i="74"/>
  <c r="X103" i="41"/>
  <c r="W103" i="41"/>
  <c r="X187" i="105"/>
  <c r="X183" i="105"/>
  <c r="X176" i="105"/>
  <c r="X172" i="105"/>
  <c r="W158" i="105"/>
  <c r="X129" i="105"/>
  <c r="X107" i="105"/>
  <c r="X97" i="105"/>
  <c r="X99" i="105"/>
  <c r="X95" i="105"/>
  <c r="X109" i="105"/>
  <c r="X108" i="105"/>
  <c r="X130" i="105"/>
  <c r="X106" i="105"/>
  <c r="X136" i="105"/>
  <c r="X100" i="105"/>
  <c r="X98" i="105"/>
  <c r="X96" i="105"/>
  <c r="V170" i="90"/>
  <c r="U170" i="90"/>
  <c r="V169" i="90"/>
  <c r="U169" i="90"/>
  <c r="V168" i="90"/>
  <c r="U168" i="90"/>
  <c r="V167" i="90"/>
  <c r="U167" i="90"/>
  <c r="V166" i="90"/>
  <c r="U166" i="90"/>
  <c r="U226" i="53"/>
  <c r="V225" i="53"/>
  <c r="V293" i="73"/>
  <c r="U293" i="73"/>
  <c r="V103" i="41"/>
  <c r="U103" i="41"/>
  <c r="V176" i="105"/>
  <c r="V172" i="105"/>
  <c r="U158" i="105"/>
  <c r="V129" i="105"/>
  <c r="T170" i="90"/>
  <c r="T169" i="90"/>
  <c r="T168" i="90"/>
  <c r="T167" i="90"/>
  <c r="T166" i="90"/>
  <c r="T78" i="83"/>
  <c r="T27" i="76"/>
  <c r="T157" i="74"/>
  <c r="T156" i="74"/>
  <c r="K170" i="90"/>
  <c r="J170" i="90"/>
  <c r="K169" i="90"/>
  <c r="J169" i="90"/>
  <c r="K168" i="90"/>
  <c r="J168" i="90"/>
  <c r="K167" i="90"/>
  <c r="J167" i="90"/>
  <c r="K166" i="90"/>
  <c r="J166" i="90"/>
  <c r="J226" i="53"/>
  <c r="K225" i="53"/>
  <c r="K293" i="73"/>
  <c r="J293" i="73"/>
  <c r="J156" i="105"/>
  <c r="M170" i="90"/>
  <c r="L170" i="90"/>
  <c r="M169" i="90"/>
  <c r="L169" i="90"/>
  <c r="M168" i="90"/>
  <c r="L168" i="90"/>
  <c r="M167" i="90"/>
  <c r="L167" i="90"/>
  <c r="M166" i="90"/>
  <c r="L166" i="90"/>
  <c r="L225" i="53"/>
  <c r="M224" i="53"/>
  <c r="L293" i="73"/>
  <c r="P170" i="90"/>
  <c r="O170" i="90"/>
  <c r="N170" i="90"/>
  <c r="P169" i="90"/>
  <c r="O169" i="90"/>
  <c r="N169" i="90"/>
  <c r="P168" i="90"/>
  <c r="O168" i="90"/>
  <c r="N168" i="90"/>
  <c r="P167" i="90"/>
  <c r="O167" i="90"/>
  <c r="N167" i="90"/>
  <c r="P166" i="90"/>
  <c r="O166" i="90"/>
  <c r="N166" i="90"/>
  <c r="N226" i="53"/>
  <c r="O225" i="53"/>
  <c r="O224" i="53"/>
  <c r="N224" i="53"/>
  <c r="N293" i="73"/>
  <c r="P174" i="105"/>
  <c r="O135" i="105"/>
  <c r="V123" i="65" l="1"/>
  <c r="V124" i="65"/>
  <c r="M158" i="105"/>
  <c r="O175" i="105"/>
  <c r="O171" i="105"/>
  <c r="O176" i="105"/>
  <c r="O172" i="105"/>
  <c r="O174" i="105"/>
  <c r="O173" i="105"/>
  <c r="O170" i="105"/>
  <c r="P158" i="105"/>
  <c r="P226" i="53"/>
  <c r="P224" i="53"/>
  <c r="P225" i="53"/>
  <c r="P176" i="105"/>
  <c r="P172" i="105"/>
  <c r="P173" i="105"/>
  <c r="O129" i="105"/>
  <c r="P175" i="105"/>
  <c r="N158" i="105"/>
  <c r="P170" i="105"/>
  <c r="O293" i="73"/>
  <c r="O158" i="105"/>
  <c r="P171" i="105"/>
  <c r="P293" i="73"/>
  <c r="K158" i="105"/>
  <c r="L158" i="105"/>
  <c r="M225" i="53"/>
  <c r="J158" i="105"/>
  <c r="T293" i="73"/>
  <c r="N225" i="53"/>
  <c r="M226" i="53"/>
  <c r="M293" i="73"/>
  <c r="T158" i="105"/>
  <c r="T225" i="53"/>
  <c r="T224" i="53"/>
  <c r="V158" i="105"/>
  <c r="O226" i="53"/>
  <c r="L224" i="53"/>
  <c r="L226" i="53"/>
  <c r="J225" i="53"/>
  <c r="J224" i="53"/>
  <c r="V175" i="105"/>
  <c r="V173" i="105"/>
  <c r="V171" i="105"/>
  <c r="V135" i="105"/>
  <c r="V170" i="105"/>
  <c r="V174" i="105"/>
  <c r="K224" i="53"/>
  <c r="K226" i="53"/>
  <c r="Z93" i="74"/>
  <c r="Z91" i="74"/>
  <c r="Z89" i="74"/>
  <c r="Z87" i="74"/>
  <c r="Z85" i="74"/>
  <c r="Z79" i="74"/>
  <c r="Z77" i="74"/>
  <c r="Z75" i="74"/>
  <c r="Z73" i="74"/>
  <c r="Z90" i="74"/>
  <c r="Z86" i="74"/>
  <c r="Z78" i="74"/>
  <c r="Z74" i="74"/>
  <c r="Z76" i="74"/>
  <c r="Z84" i="74"/>
  <c r="Z88" i="74"/>
  <c r="Z72" i="74"/>
  <c r="Z92" i="74"/>
  <c r="Z158" i="105"/>
  <c r="U225" i="53"/>
  <c r="U224" i="53"/>
  <c r="U78" i="83"/>
  <c r="X104" i="105"/>
  <c r="X110" i="105"/>
  <c r="V224" i="53"/>
  <c r="V226" i="53"/>
  <c r="W93" i="74"/>
  <c r="W91" i="74"/>
  <c r="W89" i="74"/>
  <c r="W87" i="74"/>
  <c r="W85" i="74"/>
  <c r="W79" i="74"/>
  <c r="W77" i="74"/>
  <c r="W75" i="74"/>
  <c r="W73" i="74"/>
  <c r="W74" i="74"/>
  <c r="W78" i="74"/>
  <c r="W86" i="74"/>
  <c r="W90" i="74"/>
  <c r="Z226" i="53"/>
  <c r="Z224" i="53"/>
  <c r="V78" i="83"/>
  <c r="X186" i="105"/>
  <c r="X184" i="105"/>
  <c r="X182" i="105"/>
  <c r="X175" i="105"/>
  <c r="X173" i="105"/>
  <c r="X171" i="105"/>
  <c r="X135" i="105"/>
  <c r="X94" i="105"/>
  <c r="X101" i="105" s="1"/>
  <c r="X105" i="105"/>
  <c r="X158" i="105"/>
  <c r="X170" i="105"/>
  <c r="X174" i="105"/>
  <c r="X181" i="105"/>
  <c r="X185" i="105"/>
  <c r="X92" i="74"/>
  <c r="Z106" i="105"/>
  <c r="Z111" i="105" s="1"/>
  <c r="Z97" i="105"/>
  <c r="Z101" i="105" s="1"/>
  <c r="Y175" i="105"/>
  <c r="Y173" i="105"/>
  <c r="Y171" i="105"/>
  <c r="Y174" i="105"/>
  <c r="Y176" i="105"/>
  <c r="Y135" i="105"/>
  <c r="Y94" i="105"/>
  <c r="Y101" i="105" s="1"/>
  <c r="Y170" i="105"/>
  <c r="X72" i="74"/>
  <c r="X74" i="74"/>
  <c r="X76" i="74"/>
  <c r="X78" i="74"/>
  <c r="X84" i="74"/>
  <c r="X86" i="74"/>
  <c r="X88" i="74"/>
  <c r="X90" i="74"/>
  <c r="Z170" i="105"/>
  <c r="Z173" i="105"/>
  <c r="Z181" i="105"/>
  <c r="Z188" i="105" s="1"/>
  <c r="AB104" i="105"/>
  <c r="AB135" i="105"/>
  <c r="Y158" i="105"/>
  <c r="Y92" i="74"/>
  <c r="AB129" i="105"/>
  <c r="AB97" i="105"/>
  <c r="AB101" i="105" s="1"/>
  <c r="AB109" i="105"/>
  <c r="Y72" i="74"/>
  <c r="Y74" i="74"/>
  <c r="Y76" i="74"/>
  <c r="Y78" i="74"/>
  <c r="Y84" i="74"/>
  <c r="Y86" i="74"/>
  <c r="Y88" i="74"/>
  <c r="Y90" i="74"/>
  <c r="Y224" i="53"/>
  <c r="AA129" i="105"/>
  <c r="AA97" i="105"/>
  <c r="AA101" i="105" s="1"/>
  <c r="AA135" i="105"/>
  <c r="AA226" i="53"/>
  <c r="AA224" i="53"/>
  <c r="AA176" i="105"/>
  <c r="AA174" i="105"/>
  <c r="AA172" i="105"/>
  <c r="AA170" i="105"/>
  <c r="AA171" i="105"/>
  <c r="AB173" i="105"/>
  <c r="AB176" i="105"/>
  <c r="AB184" i="105"/>
  <c r="AB187" i="105"/>
  <c r="AA92" i="74"/>
  <c r="AA89" i="74"/>
  <c r="AA73" i="74"/>
  <c r="AA78" i="74"/>
  <c r="AA85" i="74"/>
  <c r="AA91" i="74"/>
  <c r="AB171" i="105"/>
  <c r="AB174" i="105"/>
  <c r="AB182" i="105"/>
  <c r="AB92" i="74"/>
  <c r="AA76" i="74"/>
  <c r="AA79" i="74"/>
  <c r="AA88" i="74"/>
  <c r="AA78" i="83"/>
  <c r="AB72" i="74"/>
  <c r="AB74" i="74"/>
  <c r="AB76" i="74"/>
  <c r="AB78" i="74"/>
  <c r="AB84" i="74"/>
  <c r="AB86" i="74"/>
  <c r="AB88" i="74"/>
  <c r="AB90" i="74"/>
  <c r="AB224" i="53"/>
  <c r="AB226" i="53"/>
  <c r="Y43" i="82" l="1"/>
  <c r="AA47" i="65"/>
  <c r="AA54" i="112"/>
  <c r="AA60" i="112" s="1"/>
  <c r="Z177" i="105"/>
  <c r="AA177" i="105"/>
  <c r="AB188" i="105"/>
  <c r="V177" i="105"/>
  <c r="AA225" i="53"/>
  <c r="W224" i="53"/>
  <c r="AB78" i="83"/>
  <c r="Y225" i="53"/>
  <c r="X225" i="53"/>
  <c r="AB177" i="105"/>
  <c r="AB111" i="105"/>
  <c r="X188" i="105"/>
  <c r="Z78" i="83"/>
  <c r="W226" i="53"/>
  <c r="T226" i="53"/>
  <c r="Y177" i="105"/>
  <c r="X177" i="105"/>
  <c r="Z225" i="53"/>
  <c r="X111" i="105"/>
  <c r="P177" i="105"/>
  <c r="O177" i="105"/>
  <c r="AB47" i="65" l="1"/>
  <c r="AB54" i="112"/>
  <c r="AB60" i="112" s="1"/>
  <c r="C13" i="106"/>
  <c r="G208" i="85" s="1"/>
  <c r="U129" i="81"/>
  <c r="T129" i="81"/>
  <c r="B12" i="27"/>
  <c r="H15" i="55"/>
  <c r="D14" i="27" s="1"/>
  <c r="H13" i="55"/>
  <c r="D12" i="27" s="1"/>
  <c r="A2" i="111"/>
  <c r="A1" i="111"/>
  <c r="C14" i="111" s="1"/>
  <c r="G132" i="85" s="1"/>
  <c r="A2" i="106"/>
  <c r="A2" i="105"/>
  <c r="H11" i="55"/>
  <c r="D10" i="27" s="1"/>
  <c r="H9" i="55"/>
  <c r="D8" i="27" s="1"/>
  <c r="H7" i="55"/>
  <c r="D6" i="27" s="1"/>
  <c r="A1" i="106"/>
  <c r="A1" i="105"/>
  <c r="C42" i="105" s="1"/>
  <c r="G198" i="85" s="1"/>
  <c r="H81" i="65"/>
  <c r="H80" i="65"/>
  <c r="H79" i="65"/>
  <c r="H78" i="65"/>
  <c r="H77" i="65"/>
  <c r="H76" i="65"/>
  <c r="H75" i="65"/>
  <c r="H93" i="89"/>
  <c r="H49" i="86"/>
  <c r="H79" i="89"/>
  <c r="H44" i="89"/>
  <c r="H45" i="89" s="1"/>
  <c r="H86" i="89"/>
  <c r="H56" i="89"/>
  <c r="H69" i="89"/>
  <c r="S73" i="31"/>
  <c r="S78" i="31"/>
  <c r="K69" i="31"/>
  <c r="R86" i="31"/>
  <c r="K73" i="31"/>
  <c r="S69" i="31"/>
  <c r="Q73" i="31"/>
  <c r="S79" i="31"/>
  <c r="Q82" i="31"/>
  <c r="Q86" i="31"/>
  <c r="A2" i="90"/>
  <c r="A1" i="90"/>
  <c r="C155" i="90" s="1"/>
  <c r="G85" i="85" s="1"/>
  <c r="H113" i="53"/>
  <c r="H169" i="53"/>
  <c r="H129" i="53"/>
  <c r="P47" i="23"/>
  <c r="N47" i="23"/>
  <c r="Q47" i="23"/>
  <c r="Q27" i="31"/>
  <c r="Q29" i="31" s="1"/>
  <c r="L48" i="23"/>
  <c r="L49" i="23"/>
  <c r="H168" i="53"/>
  <c r="H120" i="53"/>
  <c r="H112" i="53"/>
  <c r="H152" i="53"/>
  <c r="H144" i="53"/>
  <c r="H160" i="53"/>
  <c r="H128" i="53"/>
  <c r="H106" i="53"/>
  <c r="H47" i="86" a="1"/>
  <c r="H47" i="86" s="1"/>
  <c r="K27" i="31"/>
  <c r="J28" i="31" s="1"/>
  <c r="J29" i="31" s="1"/>
  <c r="L54" i="81"/>
  <c r="S47" i="23"/>
  <c r="M47" i="23"/>
  <c r="O47" i="23"/>
  <c r="R47" i="23"/>
  <c r="L47" i="23"/>
  <c r="H104" i="53"/>
  <c r="H136" i="53"/>
  <c r="H105" i="53"/>
  <c r="H153" i="53"/>
  <c r="H121" i="53"/>
  <c r="H145" i="53"/>
  <c r="H137" i="53"/>
  <c r="H161" i="53"/>
  <c r="H88" i="81"/>
  <c r="H87" i="81"/>
  <c r="H86" i="81"/>
  <c r="H84" i="81"/>
  <c r="J98" i="81"/>
  <c r="H163" i="90" a="1"/>
  <c r="H163" i="90" s="1"/>
  <c r="H24" i="81"/>
  <c r="H25" i="81" s="1"/>
  <c r="H121" i="81" s="1"/>
  <c r="H19" i="76" s="1"/>
  <c r="H25" i="22"/>
  <c r="H24" i="22"/>
  <c r="H23" i="22"/>
  <c r="H22" i="22"/>
  <c r="A2" i="89"/>
  <c r="A1" i="89"/>
  <c r="C89" i="89" s="1"/>
  <c r="G98" i="85" s="1"/>
  <c r="A2" i="87"/>
  <c r="A1" i="87"/>
  <c r="C72" i="87" s="1"/>
  <c r="G90" i="85" s="1"/>
  <c r="L46" i="23"/>
  <c r="H39" i="81"/>
  <c r="Q19" i="31"/>
  <c r="N19" i="31"/>
  <c r="A2" i="86"/>
  <c r="A1" i="86"/>
  <c r="C23" i="86" s="1"/>
  <c r="G92" i="85" s="1"/>
  <c r="H103" i="53"/>
  <c r="H167" i="53"/>
  <c r="H119" i="53"/>
  <c r="H135" i="53"/>
  <c r="H143" i="53"/>
  <c r="H159" i="53"/>
  <c r="H151" i="53"/>
  <c r="H127" i="53"/>
  <c r="H111" i="53"/>
  <c r="K19" i="31"/>
  <c r="H39" i="70"/>
  <c r="H37" i="31"/>
  <c r="P38" i="31" s="1"/>
  <c r="P46" i="81"/>
  <c r="N47" i="81" s="1"/>
  <c r="A2" i="85"/>
  <c r="A1" i="85"/>
  <c r="A2" i="84"/>
  <c r="A1" i="84"/>
  <c r="J20" i="31"/>
  <c r="J21" i="31" s="1"/>
  <c r="J23" i="31" s="1"/>
  <c r="A1" i="55"/>
  <c r="A2" i="83"/>
  <c r="A1" i="83"/>
  <c r="C204" i="83" s="1"/>
  <c r="G149" i="85" s="1"/>
  <c r="A2" i="82"/>
  <c r="A1" i="82"/>
  <c r="C57" i="82" s="1"/>
  <c r="G212" i="85" s="1"/>
  <c r="A2" i="81"/>
  <c r="A1" i="81"/>
  <c r="C104" i="81" s="1"/>
  <c r="G142" i="85" s="1"/>
  <c r="A2" i="80"/>
  <c r="A1" i="80"/>
  <c r="C266" i="80" s="1"/>
  <c r="G131" i="85" s="1"/>
  <c r="A2" i="65"/>
  <c r="A1" i="65"/>
  <c r="C127" i="65" s="1"/>
  <c r="G196" i="85" s="1"/>
  <c r="A2" i="76"/>
  <c r="A1" i="76"/>
  <c r="C33" i="76" s="1"/>
  <c r="G151" i="85" s="1"/>
  <c r="A2" i="74"/>
  <c r="A1" i="74"/>
  <c r="C97" i="74" s="1"/>
  <c r="G178" i="85" s="1"/>
  <c r="A2" i="73"/>
  <c r="A1" i="73"/>
  <c r="C219" i="73" s="1"/>
  <c r="G170" i="85" s="1"/>
  <c r="A2" i="72"/>
  <c r="A1" i="72"/>
  <c r="C220" i="72" s="1"/>
  <c r="G165" i="85" s="1"/>
  <c r="A2" i="71"/>
  <c r="A1" i="71"/>
  <c r="C214" i="71" s="1"/>
  <c r="G160" i="85" s="1"/>
  <c r="A2" i="70"/>
  <c r="A1" i="70"/>
  <c r="C19" i="70" s="1"/>
  <c r="G101" i="85" s="1"/>
  <c r="B14" i="27"/>
  <c r="B10" i="27"/>
  <c r="B6" i="27"/>
  <c r="B8" i="27"/>
  <c r="A2" i="41"/>
  <c r="A2" i="53"/>
  <c r="A2" i="22"/>
  <c r="A2" i="23"/>
  <c r="A2" i="31"/>
  <c r="A2" i="28"/>
  <c r="A2" i="55"/>
  <c r="A1" i="28"/>
  <c r="A1" i="53"/>
  <c r="C269" i="53" s="1"/>
  <c r="G122" i="85" s="1"/>
  <c r="A1" i="41"/>
  <c r="C45" i="41" s="1"/>
  <c r="G182" i="85" s="1"/>
  <c r="A1" i="31"/>
  <c r="C133" i="31" s="1"/>
  <c r="G106" i="85" s="1"/>
  <c r="A1" i="23"/>
  <c r="C16" i="23" s="1"/>
  <c r="G107" i="85" s="1"/>
  <c r="A1" i="22"/>
  <c r="C55" i="22" s="1"/>
  <c r="G110" i="85" s="1"/>
  <c r="K29" i="31"/>
  <c r="L27" i="31"/>
  <c r="L29" i="31" s="1"/>
  <c r="M27" i="31"/>
  <c r="M29" i="31" s="1"/>
  <c r="N27" i="31"/>
  <c r="N29" i="31" s="1"/>
  <c r="O27" i="31"/>
  <c r="O29" i="31" s="1"/>
  <c r="R27" i="31"/>
  <c r="R29" i="31" s="1"/>
  <c r="S27" i="31"/>
  <c r="S29" i="31" s="1"/>
  <c r="L19" i="31"/>
  <c r="M54" i="81"/>
  <c r="N54" i="81"/>
  <c r="O54" i="81"/>
  <c r="Q54" i="81"/>
  <c r="R54" i="81"/>
  <c r="S54" i="81"/>
  <c r="M46" i="23"/>
  <c r="M48" i="23"/>
  <c r="M49" i="23"/>
  <c r="N46" i="23"/>
  <c r="N48" i="23"/>
  <c r="N49" i="23"/>
  <c r="O46" i="23"/>
  <c r="O48" i="23"/>
  <c r="O49" i="23"/>
  <c r="P46" i="23"/>
  <c r="P48" i="23"/>
  <c r="P49" i="23"/>
  <c r="Q46" i="23"/>
  <c r="Q48" i="23"/>
  <c r="Q49" i="23"/>
  <c r="R46" i="23"/>
  <c r="R48" i="23"/>
  <c r="R49" i="23"/>
  <c r="S46" i="23"/>
  <c r="S48" i="23"/>
  <c r="S49" i="23"/>
  <c r="H114" i="53"/>
  <c r="H122" i="53"/>
  <c r="H130" i="53"/>
  <c r="H138" i="53"/>
  <c r="H146" i="53"/>
  <c r="H154" i="53"/>
  <c r="H162" i="53"/>
  <c r="H170" i="53"/>
  <c r="P54" i="81"/>
  <c r="X135" i="65"/>
  <c r="AB134" i="65"/>
  <c r="X134" i="65"/>
  <c r="K76" i="81"/>
  <c r="K108" i="81" s="1"/>
  <c r="Q34" i="22" l="1"/>
  <c r="R34" i="22"/>
  <c r="S34" i="22"/>
  <c r="Q35" i="22"/>
  <c r="R35" i="22"/>
  <c r="S35" i="22"/>
  <c r="S203" i="53"/>
  <c r="S245" i="53" s="1"/>
  <c r="Q203" i="53"/>
  <c r="Q245" i="53" s="1"/>
  <c r="R203" i="53"/>
  <c r="R245" i="53" s="1"/>
  <c r="S218" i="53"/>
  <c r="S248" i="53" s="1"/>
  <c r="Q218" i="53"/>
  <c r="Q248" i="53" s="1"/>
  <c r="R218" i="53"/>
  <c r="R248" i="53" s="1"/>
  <c r="H172" i="53"/>
  <c r="R219" i="53"/>
  <c r="R259" i="53" s="1"/>
  <c r="S219" i="53"/>
  <c r="S259" i="53" s="1"/>
  <c r="Q219" i="53"/>
  <c r="Q259" i="53" s="1"/>
  <c r="R182" i="53"/>
  <c r="R230" i="53" s="1"/>
  <c r="Q182" i="53"/>
  <c r="Q230" i="53" s="1"/>
  <c r="S182" i="53"/>
  <c r="S230" i="53" s="1"/>
  <c r="S202" i="53"/>
  <c r="S234" i="53" s="1"/>
  <c r="R202" i="53"/>
  <c r="R234" i="53" s="1"/>
  <c r="Q202" i="53"/>
  <c r="Q234" i="53" s="1"/>
  <c r="R214" i="53"/>
  <c r="R258" i="53" s="1"/>
  <c r="Q214" i="53"/>
  <c r="Q258" i="53" s="1"/>
  <c r="S214" i="53"/>
  <c r="S258" i="53" s="1"/>
  <c r="H156" i="53"/>
  <c r="T209" i="53" s="1"/>
  <c r="T257" i="53" s="1"/>
  <c r="R209" i="53"/>
  <c r="R257" i="53" s="1"/>
  <c r="S209" i="53"/>
  <c r="S257" i="53" s="1"/>
  <c r="Q209" i="53"/>
  <c r="Q257" i="53" s="1"/>
  <c r="R208" i="53"/>
  <c r="R246" i="53" s="1"/>
  <c r="Q208" i="53"/>
  <c r="Q246" i="53" s="1"/>
  <c r="S208" i="53"/>
  <c r="S246" i="53" s="1"/>
  <c r="H116" i="53"/>
  <c r="S184" i="53"/>
  <c r="S252" i="53" s="1"/>
  <c r="Q184" i="53"/>
  <c r="Q252" i="53" s="1"/>
  <c r="R184" i="53"/>
  <c r="R252" i="53" s="1"/>
  <c r="Q212" i="53"/>
  <c r="Q236" i="53" s="1"/>
  <c r="R212" i="53"/>
  <c r="R236" i="53" s="1"/>
  <c r="S212" i="53"/>
  <c r="S236" i="53" s="1"/>
  <c r="Q217" i="53"/>
  <c r="Q237" i="53" s="1"/>
  <c r="R217" i="53"/>
  <c r="R237" i="53" s="1"/>
  <c r="S217" i="53"/>
  <c r="S237" i="53" s="1"/>
  <c r="R189" i="53"/>
  <c r="R253" i="53" s="1"/>
  <c r="Q189" i="53"/>
  <c r="Q253" i="53" s="1"/>
  <c r="S189" i="53"/>
  <c r="S253" i="53" s="1"/>
  <c r="R178" i="53"/>
  <c r="R240" i="53" s="1"/>
  <c r="S178" i="53"/>
  <c r="S240" i="53" s="1"/>
  <c r="Q178" i="53"/>
  <c r="Q240" i="53" s="1"/>
  <c r="S192" i="53"/>
  <c r="S232" i="53" s="1"/>
  <c r="Q192" i="53"/>
  <c r="Q232" i="53" s="1"/>
  <c r="R192" i="53"/>
  <c r="R232" i="53" s="1"/>
  <c r="S197" i="53"/>
  <c r="S233" i="53" s="1"/>
  <c r="Q197" i="53"/>
  <c r="Q233" i="53" s="1"/>
  <c r="R197" i="53"/>
  <c r="R233" i="53" s="1"/>
  <c r="Q177" i="53"/>
  <c r="Q229" i="53" s="1"/>
  <c r="S177" i="53"/>
  <c r="S229" i="53" s="1"/>
  <c r="R177" i="53"/>
  <c r="R229" i="53" s="1"/>
  <c r="R199" i="53"/>
  <c r="R255" i="53" s="1"/>
  <c r="S199" i="53"/>
  <c r="S255" i="53" s="1"/>
  <c r="Q199" i="53"/>
  <c r="Q255" i="53" s="1"/>
  <c r="H108" i="53"/>
  <c r="S179" i="53"/>
  <c r="S251" i="53" s="1"/>
  <c r="Q179" i="53"/>
  <c r="Q251" i="53" s="1"/>
  <c r="R179" i="53"/>
  <c r="R251" i="53" s="1"/>
  <c r="R193" i="53"/>
  <c r="R243" i="53" s="1"/>
  <c r="S193" i="53"/>
  <c r="S243" i="53" s="1"/>
  <c r="Q193" i="53"/>
  <c r="Q243" i="53" s="1"/>
  <c r="R183" i="53"/>
  <c r="R241" i="53" s="1"/>
  <c r="S183" i="53"/>
  <c r="S241" i="53" s="1"/>
  <c r="Q183" i="53"/>
  <c r="Q241" i="53" s="1"/>
  <c r="S207" i="53"/>
  <c r="S235" i="53" s="1"/>
  <c r="Q207" i="53"/>
  <c r="Q235" i="53" s="1"/>
  <c r="R207" i="53"/>
  <c r="R235" i="53" s="1"/>
  <c r="R187" i="53"/>
  <c r="R231" i="53" s="1"/>
  <c r="S187" i="53"/>
  <c r="S231" i="53" s="1"/>
  <c r="Q187" i="53"/>
  <c r="Q231" i="53" s="1"/>
  <c r="H148" i="53"/>
  <c r="R204" i="53"/>
  <c r="R256" i="53" s="1"/>
  <c r="S204" i="53"/>
  <c r="S256" i="53" s="1"/>
  <c r="Q204" i="53"/>
  <c r="Q256" i="53" s="1"/>
  <c r="R198" i="53"/>
  <c r="R244" i="53" s="1"/>
  <c r="S198" i="53"/>
  <c r="S244" i="53" s="1"/>
  <c r="Q198" i="53"/>
  <c r="Q244" i="53" s="1"/>
  <c r="R213" i="53"/>
  <c r="R247" i="53" s="1"/>
  <c r="S213" i="53"/>
  <c r="S247" i="53" s="1"/>
  <c r="Q213" i="53"/>
  <c r="Q247" i="53" s="1"/>
  <c r="R188" i="53"/>
  <c r="R242" i="53" s="1"/>
  <c r="Q188" i="53"/>
  <c r="Q242" i="53" s="1"/>
  <c r="S188" i="53"/>
  <c r="S242" i="53" s="1"/>
  <c r="S194" i="53"/>
  <c r="S254" i="53" s="1"/>
  <c r="R194" i="53"/>
  <c r="R254" i="53" s="1"/>
  <c r="Q194" i="53"/>
  <c r="Q254" i="53" s="1"/>
  <c r="Q62" i="23"/>
  <c r="Q63" i="23"/>
  <c r="Q61" i="23"/>
  <c r="M63" i="23"/>
  <c r="M61" i="23"/>
  <c r="M62" i="23"/>
  <c r="R63" i="23"/>
  <c r="R61" i="23"/>
  <c r="R62" i="23"/>
  <c r="N61" i="23"/>
  <c r="N62" i="23"/>
  <c r="N63" i="23"/>
  <c r="L62" i="23"/>
  <c r="L61" i="23"/>
  <c r="L63" i="23"/>
  <c r="S62" i="23"/>
  <c r="S61" i="23"/>
  <c r="S63" i="23"/>
  <c r="O61" i="23"/>
  <c r="O63" i="23"/>
  <c r="O62" i="23"/>
  <c r="P61" i="23"/>
  <c r="P62" i="23"/>
  <c r="P63" i="23"/>
  <c r="S45" i="70"/>
  <c r="Q45" i="70"/>
  <c r="R45" i="70"/>
  <c r="R146" i="31"/>
  <c r="R147" i="31"/>
  <c r="R145" i="31"/>
  <c r="K53" i="82"/>
  <c r="S147" i="31"/>
  <c r="S146" i="31"/>
  <c r="S145" i="31"/>
  <c r="M53" i="82"/>
  <c r="H45" i="80"/>
  <c r="H51" i="80"/>
  <c r="Q145" i="31"/>
  <c r="Q146" i="31"/>
  <c r="Q147" i="31"/>
  <c r="P122" i="31"/>
  <c r="P121" i="31"/>
  <c r="P120" i="31"/>
  <c r="P83" i="31"/>
  <c r="P76" i="31"/>
  <c r="P75" i="31"/>
  <c r="P77" i="31"/>
  <c r="P68" i="31"/>
  <c r="O45" i="70"/>
  <c r="N45" i="70"/>
  <c r="M45" i="70"/>
  <c r="L45" i="70"/>
  <c r="K45" i="70"/>
  <c r="J45" i="70"/>
  <c r="T45" i="70"/>
  <c r="P45" i="70"/>
  <c r="C87" i="65"/>
  <c r="G194" i="85" s="1"/>
  <c r="C98" i="65"/>
  <c r="G195" i="85" s="1"/>
  <c r="C40" i="65"/>
  <c r="G191" i="85" s="1"/>
  <c r="AA134" i="65"/>
  <c r="AA49" i="105" s="1"/>
  <c r="AA88" i="105" s="1"/>
  <c r="AA123" i="65"/>
  <c r="AA152" i="65" s="1"/>
  <c r="Y134" i="65"/>
  <c r="Y49" i="105" s="1"/>
  <c r="Y123" i="65"/>
  <c r="Y152" i="65" s="1"/>
  <c r="Y67" i="105" s="1"/>
  <c r="Y185" i="105" s="1"/>
  <c r="W134" i="65"/>
  <c r="W49" i="105" s="1"/>
  <c r="W88" i="105" s="1"/>
  <c r="W114" i="65"/>
  <c r="W143" i="65" s="1"/>
  <c r="W123" i="65"/>
  <c r="W152" i="65" s="1"/>
  <c r="V152" i="65"/>
  <c r="V67" i="105" s="1"/>
  <c r="V185" i="105" s="1"/>
  <c r="V134" i="65"/>
  <c r="V49" i="105" s="1"/>
  <c r="Y135" i="65"/>
  <c r="Y50" i="105" s="1"/>
  <c r="Y89" i="105" s="1"/>
  <c r="Y124" i="65"/>
  <c r="Y153" i="65" s="1"/>
  <c r="Y68" i="105" s="1"/>
  <c r="Y186" i="105" s="1"/>
  <c r="W135" i="65"/>
  <c r="W50" i="105" s="1"/>
  <c r="W124" i="65"/>
  <c r="W153" i="65" s="1"/>
  <c r="W115" i="65"/>
  <c r="W144" i="65" s="1"/>
  <c r="V153" i="65"/>
  <c r="V68" i="105" s="1"/>
  <c r="V186" i="105" s="1"/>
  <c r="V135" i="65"/>
  <c r="V50" i="105" s="1"/>
  <c r="V89" i="105" s="1"/>
  <c r="AB135" i="65"/>
  <c r="AB50" i="105" s="1"/>
  <c r="A3" i="112"/>
  <c r="U54" i="112"/>
  <c r="U60" i="112" s="1"/>
  <c r="V47" i="65"/>
  <c r="K47" i="65"/>
  <c r="Z47" i="65"/>
  <c r="X47" i="65"/>
  <c r="O47" i="81"/>
  <c r="C52" i="65"/>
  <c r="G192" i="85" s="1"/>
  <c r="C72" i="65"/>
  <c r="G193" i="85" s="1"/>
  <c r="AB49" i="105"/>
  <c r="C151" i="90"/>
  <c r="G84" i="85" s="1"/>
  <c r="M47" i="81"/>
  <c r="P47" i="81"/>
  <c r="O38" i="31"/>
  <c r="S139" i="31"/>
  <c r="C49" i="87"/>
  <c r="G88" i="85" s="1"/>
  <c r="C58" i="87"/>
  <c r="G89" i="85" s="1"/>
  <c r="C65" i="53"/>
  <c r="G116" i="85" s="1"/>
  <c r="C265" i="53"/>
  <c r="G121" i="85" s="1"/>
  <c r="C13" i="87"/>
  <c r="G86" i="85" s="1"/>
  <c r="C36" i="53"/>
  <c r="G113" i="85" s="1"/>
  <c r="H107" i="53"/>
  <c r="T178" i="53" s="1"/>
  <c r="T240" i="53" s="1"/>
  <c r="H123" i="53"/>
  <c r="T188" i="53" s="1"/>
  <c r="T242" i="53" s="1"/>
  <c r="H90" i="81"/>
  <c r="H122" i="81" s="1"/>
  <c r="H20" i="76" s="1"/>
  <c r="P82" i="31"/>
  <c r="M38" i="31"/>
  <c r="M68" i="31" s="1"/>
  <c r="H131" i="53"/>
  <c r="T193" i="53" s="1"/>
  <c r="T243" i="53" s="1"/>
  <c r="P78" i="31"/>
  <c r="X50" i="105"/>
  <c r="N31" i="81"/>
  <c r="P28" i="31"/>
  <c r="P29" i="31" s="1"/>
  <c r="H35" i="72" s="1" a="1"/>
  <c r="N38" i="31"/>
  <c r="H46" i="80"/>
  <c r="L31" i="81"/>
  <c r="H139" i="53"/>
  <c r="T198" i="53" s="1"/>
  <c r="T244" i="53" s="1"/>
  <c r="R31" i="81"/>
  <c r="H52" i="80"/>
  <c r="S143" i="31"/>
  <c r="O31" i="81"/>
  <c r="H49" i="80"/>
  <c r="N53" i="82"/>
  <c r="K20" i="31"/>
  <c r="T35" i="22"/>
  <c r="U35" i="22"/>
  <c r="K35" i="22"/>
  <c r="W35" i="22"/>
  <c r="L35" i="22"/>
  <c r="X35" i="22"/>
  <c r="Y35" i="22"/>
  <c r="V35" i="22"/>
  <c r="AB35" i="22"/>
  <c r="J35" i="22"/>
  <c r="N35" i="22"/>
  <c r="O35" i="22"/>
  <c r="P35" i="22"/>
  <c r="Z35" i="22"/>
  <c r="AA35" i="22"/>
  <c r="M35" i="22"/>
  <c r="Z34" i="22"/>
  <c r="AA34" i="22"/>
  <c r="P34" i="22"/>
  <c r="T34" i="22"/>
  <c r="U34" i="22"/>
  <c r="V34" i="22"/>
  <c r="X34" i="22"/>
  <c r="Y34" i="22"/>
  <c r="K34" i="22"/>
  <c r="L34" i="22"/>
  <c r="O34" i="22"/>
  <c r="W34" i="22"/>
  <c r="M34" i="22"/>
  <c r="AB34" i="22"/>
  <c r="J34" i="22"/>
  <c r="N34" i="22"/>
  <c r="X49" i="105"/>
  <c r="N60" i="23"/>
  <c r="L125" i="31"/>
  <c r="J129" i="31"/>
  <c r="S125" i="31"/>
  <c r="L119" i="31"/>
  <c r="P130" i="31"/>
  <c r="M126" i="31"/>
  <c r="L123" i="31"/>
  <c r="J130" i="31"/>
  <c r="S128" i="31"/>
  <c r="J125" i="31"/>
  <c r="K118" i="31"/>
  <c r="AA54" i="53"/>
  <c r="AA93" i="53" s="1"/>
  <c r="X54" i="53"/>
  <c r="X93" i="53" s="1"/>
  <c r="Y54" i="53"/>
  <c r="Y93" i="53" s="1"/>
  <c r="U54" i="53"/>
  <c r="U93" i="53" s="1"/>
  <c r="V54" i="53"/>
  <c r="V93" i="53" s="1"/>
  <c r="Z54" i="53"/>
  <c r="Z93" i="53" s="1"/>
  <c r="AB54" i="53"/>
  <c r="AB93" i="53" s="1"/>
  <c r="W54" i="53"/>
  <c r="W93" i="53" s="1"/>
  <c r="P116" i="31"/>
  <c r="L127" i="31"/>
  <c r="R116" i="31"/>
  <c r="L130" i="31"/>
  <c r="Q117" i="31"/>
  <c r="X204" i="53"/>
  <c r="X256" i="53" s="1"/>
  <c r="Y204" i="53"/>
  <c r="Y256" i="53" s="1"/>
  <c r="O204" i="53"/>
  <c r="O256" i="53" s="1"/>
  <c r="N204" i="53"/>
  <c r="N256" i="53" s="1"/>
  <c r="M204" i="53"/>
  <c r="M256" i="53" s="1"/>
  <c r="P204" i="53"/>
  <c r="P256" i="53" s="1"/>
  <c r="J204" i="53"/>
  <c r="J256" i="53" s="1"/>
  <c r="L204" i="53"/>
  <c r="L256" i="53" s="1"/>
  <c r="K204" i="53"/>
  <c r="K256" i="53" s="1"/>
  <c r="Z204" i="53"/>
  <c r="Z256" i="53" s="1"/>
  <c r="T204" i="53"/>
  <c r="T256" i="53" s="1"/>
  <c r="AB204" i="53"/>
  <c r="AB256" i="53" s="1"/>
  <c r="W204" i="53"/>
  <c r="W256" i="53" s="1"/>
  <c r="AA204" i="53"/>
  <c r="AA256" i="53" s="1"/>
  <c r="AB198" i="53"/>
  <c r="AB244" i="53" s="1"/>
  <c r="Y198" i="53"/>
  <c r="Y244" i="53" s="1"/>
  <c r="X198" i="53"/>
  <c r="X244" i="53" s="1"/>
  <c r="O198" i="53"/>
  <c r="O244" i="53" s="1"/>
  <c r="M198" i="53"/>
  <c r="M244" i="53" s="1"/>
  <c r="N198" i="53"/>
  <c r="N244" i="53" s="1"/>
  <c r="P198" i="53"/>
  <c r="P244" i="53" s="1"/>
  <c r="L198" i="53"/>
  <c r="L244" i="53" s="1"/>
  <c r="J198" i="53"/>
  <c r="J244" i="53" s="1"/>
  <c r="Z198" i="53"/>
  <c r="Z244" i="53" s="1"/>
  <c r="K198" i="53"/>
  <c r="K244" i="53" s="1"/>
  <c r="AA198" i="53"/>
  <c r="AA244" i="53" s="1"/>
  <c r="W198" i="53"/>
  <c r="W244" i="53" s="1"/>
  <c r="W213" i="53"/>
  <c r="W247" i="53" s="1"/>
  <c r="K213" i="53"/>
  <c r="K247" i="53" s="1"/>
  <c r="L213" i="53"/>
  <c r="L247" i="53" s="1"/>
  <c r="O213" i="53"/>
  <c r="O247" i="53" s="1"/>
  <c r="N213" i="53"/>
  <c r="N247" i="53" s="1"/>
  <c r="M213" i="53"/>
  <c r="M247" i="53" s="1"/>
  <c r="Z213" i="53"/>
  <c r="Z247" i="53" s="1"/>
  <c r="P213" i="53"/>
  <c r="P247" i="53" s="1"/>
  <c r="J213" i="53"/>
  <c r="J247" i="53" s="1"/>
  <c r="AB213" i="53"/>
  <c r="AB247" i="53" s="1"/>
  <c r="X213" i="53"/>
  <c r="X247" i="53" s="1"/>
  <c r="Y213" i="53"/>
  <c r="Y247" i="53" s="1"/>
  <c r="AA213" i="53"/>
  <c r="AA247" i="53" s="1"/>
  <c r="AB188" i="53"/>
  <c r="AB242" i="53" s="1"/>
  <c r="X188" i="53"/>
  <c r="X242" i="53" s="1"/>
  <c r="J188" i="53"/>
  <c r="J242" i="53" s="1"/>
  <c r="P188" i="53"/>
  <c r="P242" i="53" s="1"/>
  <c r="K188" i="53"/>
  <c r="K242" i="53" s="1"/>
  <c r="Z188" i="53"/>
  <c r="Z242" i="53" s="1"/>
  <c r="O188" i="53"/>
  <c r="O242" i="53" s="1"/>
  <c r="L188" i="53"/>
  <c r="L242" i="53" s="1"/>
  <c r="N188" i="53"/>
  <c r="N242" i="53" s="1"/>
  <c r="M188" i="53"/>
  <c r="M242" i="53" s="1"/>
  <c r="W188" i="53"/>
  <c r="W242" i="53" s="1"/>
  <c r="Y188" i="53"/>
  <c r="Y242" i="53" s="1"/>
  <c r="AA188" i="53"/>
  <c r="AA242" i="53" s="1"/>
  <c r="W219" i="53"/>
  <c r="W259" i="53" s="1"/>
  <c r="O219" i="53"/>
  <c r="O259" i="53" s="1"/>
  <c r="K219" i="53"/>
  <c r="K259" i="53" s="1"/>
  <c r="L219" i="53"/>
  <c r="L259" i="53" s="1"/>
  <c r="P219" i="53"/>
  <c r="P259" i="53" s="1"/>
  <c r="T219" i="53"/>
  <c r="T259" i="53" s="1"/>
  <c r="J219" i="53"/>
  <c r="J259" i="53" s="1"/>
  <c r="M219" i="53"/>
  <c r="M259" i="53" s="1"/>
  <c r="N219" i="53"/>
  <c r="N259" i="53" s="1"/>
  <c r="X219" i="53"/>
  <c r="X259" i="53" s="1"/>
  <c r="Y219" i="53"/>
  <c r="Y259" i="53" s="1"/>
  <c r="AA219" i="53"/>
  <c r="AA259" i="53" s="1"/>
  <c r="Z219" i="53"/>
  <c r="Z259" i="53" s="1"/>
  <c r="AB219" i="53"/>
  <c r="AB259" i="53" s="1"/>
  <c r="U207" i="53"/>
  <c r="U235" i="53" s="1"/>
  <c r="V207" i="53"/>
  <c r="V235" i="53" s="1"/>
  <c r="AB182" i="53"/>
  <c r="AB230" i="53" s="1"/>
  <c r="X182" i="53"/>
  <c r="X230" i="53" s="1"/>
  <c r="J182" i="53"/>
  <c r="J230" i="53" s="1"/>
  <c r="P182" i="53"/>
  <c r="P230" i="53" s="1"/>
  <c r="L182" i="53"/>
  <c r="L230" i="53" s="1"/>
  <c r="N182" i="53"/>
  <c r="N230" i="53" s="1"/>
  <c r="T182" i="53"/>
  <c r="T230" i="53" s="1"/>
  <c r="O182" i="53"/>
  <c r="O230" i="53" s="1"/>
  <c r="Z182" i="53"/>
  <c r="Z230" i="53" s="1"/>
  <c r="W182" i="53"/>
  <c r="W230" i="53" s="1"/>
  <c r="M182" i="53"/>
  <c r="M230" i="53" s="1"/>
  <c r="K182" i="53"/>
  <c r="K230" i="53" s="1"/>
  <c r="AA182" i="53"/>
  <c r="AA230" i="53" s="1"/>
  <c r="Y182" i="53"/>
  <c r="Y230" i="53" s="1"/>
  <c r="Y212" i="53"/>
  <c r="Y236" i="53" s="1"/>
  <c r="X212" i="53"/>
  <c r="X236" i="53" s="1"/>
  <c r="O212" i="53"/>
  <c r="O236" i="53" s="1"/>
  <c r="M212" i="53"/>
  <c r="M236" i="53" s="1"/>
  <c r="N212" i="53"/>
  <c r="N236" i="53" s="1"/>
  <c r="L212" i="53"/>
  <c r="L236" i="53" s="1"/>
  <c r="P212" i="53"/>
  <c r="P236" i="53" s="1"/>
  <c r="T212" i="53"/>
  <c r="T236" i="53" s="1"/>
  <c r="J212" i="53"/>
  <c r="J236" i="53" s="1"/>
  <c r="K212" i="53"/>
  <c r="K236" i="53" s="1"/>
  <c r="AA212" i="53"/>
  <c r="AA236" i="53" s="1"/>
  <c r="Z212" i="53"/>
  <c r="Z236" i="53" s="1"/>
  <c r="AB212" i="53"/>
  <c r="AB236" i="53" s="1"/>
  <c r="W212" i="53"/>
  <c r="W236" i="53" s="1"/>
  <c r="W197" i="53"/>
  <c r="W233" i="53" s="1"/>
  <c r="K197" i="53"/>
  <c r="K233" i="53" s="1"/>
  <c r="L197" i="53"/>
  <c r="L233" i="53" s="1"/>
  <c r="O197" i="53"/>
  <c r="O233" i="53" s="1"/>
  <c r="P197" i="53"/>
  <c r="P233" i="53" s="1"/>
  <c r="J197" i="53"/>
  <c r="J233" i="53" s="1"/>
  <c r="M197" i="53"/>
  <c r="M233" i="53" s="1"/>
  <c r="N197" i="53"/>
  <c r="N233" i="53" s="1"/>
  <c r="T197" i="53"/>
  <c r="T233" i="53" s="1"/>
  <c r="Z197" i="53"/>
  <c r="Z233" i="53" s="1"/>
  <c r="X197" i="53"/>
  <c r="X233" i="53" s="1"/>
  <c r="AB197" i="53"/>
  <c r="AB233" i="53" s="1"/>
  <c r="AA197" i="53"/>
  <c r="AA233" i="53" s="1"/>
  <c r="Y197" i="53"/>
  <c r="Y233" i="53" s="1"/>
  <c r="U209" i="53"/>
  <c r="U257" i="53" s="1"/>
  <c r="V209" i="53"/>
  <c r="V257" i="53" s="1"/>
  <c r="W217" i="53"/>
  <c r="W237" i="53" s="1"/>
  <c r="K217" i="53"/>
  <c r="K237" i="53" s="1"/>
  <c r="L217" i="53"/>
  <c r="L237" i="53" s="1"/>
  <c r="O217" i="53"/>
  <c r="O237" i="53" s="1"/>
  <c r="N217" i="53"/>
  <c r="N237" i="53" s="1"/>
  <c r="M217" i="53"/>
  <c r="M237" i="53" s="1"/>
  <c r="P217" i="53"/>
  <c r="P237" i="53" s="1"/>
  <c r="X217" i="53"/>
  <c r="X237" i="53" s="1"/>
  <c r="T217" i="53"/>
  <c r="T237" i="53" s="1"/>
  <c r="J217" i="53"/>
  <c r="J237" i="53" s="1"/>
  <c r="Z217" i="53"/>
  <c r="Z237" i="53" s="1"/>
  <c r="Y217" i="53"/>
  <c r="Y237" i="53" s="1"/>
  <c r="AA217" i="53"/>
  <c r="AA237" i="53" s="1"/>
  <c r="AB217" i="53"/>
  <c r="AB237" i="53" s="1"/>
  <c r="U179" i="53"/>
  <c r="U251" i="53" s="1"/>
  <c r="V179" i="53"/>
  <c r="V251" i="53" s="1"/>
  <c r="H163" i="53"/>
  <c r="T213" i="53" s="1"/>
  <c r="T247" i="53" s="1"/>
  <c r="U202" i="53"/>
  <c r="U234" i="53" s="1"/>
  <c r="V202" i="53"/>
  <c r="V234" i="53" s="1"/>
  <c r="V182" i="53"/>
  <c r="V230" i="53" s="1"/>
  <c r="U182" i="53"/>
  <c r="U230" i="53" s="1"/>
  <c r="U178" i="53"/>
  <c r="U240" i="53" s="1"/>
  <c r="V178" i="53"/>
  <c r="V240" i="53" s="1"/>
  <c r="Y192" i="53"/>
  <c r="Y232" i="53" s="1"/>
  <c r="X192" i="53"/>
  <c r="X232" i="53" s="1"/>
  <c r="M192" i="53"/>
  <c r="M232" i="53" s="1"/>
  <c r="O192" i="53"/>
  <c r="O232" i="53" s="1"/>
  <c r="N192" i="53"/>
  <c r="N232" i="53" s="1"/>
  <c r="J192" i="53"/>
  <c r="J232" i="53" s="1"/>
  <c r="T192" i="53"/>
  <c r="T232" i="53" s="1"/>
  <c r="P192" i="53"/>
  <c r="P232" i="53" s="1"/>
  <c r="K192" i="53"/>
  <c r="K232" i="53" s="1"/>
  <c r="L192" i="53"/>
  <c r="L232" i="53" s="1"/>
  <c r="Z192" i="53"/>
  <c r="Z232" i="53" s="1"/>
  <c r="W192" i="53"/>
  <c r="W232" i="53" s="1"/>
  <c r="AA192" i="53"/>
  <c r="AA232" i="53" s="1"/>
  <c r="AB192" i="53"/>
  <c r="AB232" i="53" s="1"/>
  <c r="U219" i="53"/>
  <c r="U259" i="53" s="1"/>
  <c r="V219" i="53"/>
  <c r="V259" i="53" s="1"/>
  <c r="W189" i="53"/>
  <c r="W253" i="53" s="1"/>
  <c r="K189" i="53"/>
  <c r="K253" i="53" s="1"/>
  <c r="L189" i="53"/>
  <c r="L253" i="53" s="1"/>
  <c r="O189" i="53"/>
  <c r="O253" i="53" s="1"/>
  <c r="N189" i="53"/>
  <c r="N253" i="53" s="1"/>
  <c r="M189" i="53"/>
  <c r="M253" i="53" s="1"/>
  <c r="P189" i="53"/>
  <c r="P253" i="53" s="1"/>
  <c r="X189" i="53"/>
  <c r="X253" i="53" s="1"/>
  <c r="J189" i="53"/>
  <c r="J253" i="53" s="1"/>
  <c r="Z189" i="53"/>
  <c r="Z253" i="53" s="1"/>
  <c r="Y189" i="53"/>
  <c r="Y253" i="53" s="1"/>
  <c r="AA189" i="53"/>
  <c r="AA253" i="53" s="1"/>
  <c r="AB189" i="53"/>
  <c r="AB253" i="53" s="1"/>
  <c r="Y178" i="53"/>
  <c r="Y240" i="53" s="1"/>
  <c r="X178" i="53"/>
  <c r="X240" i="53" s="1"/>
  <c r="O178" i="53"/>
  <c r="O240" i="53" s="1"/>
  <c r="N178" i="53"/>
  <c r="N240" i="53" s="1"/>
  <c r="M178" i="53"/>
  <c r="M240" i="53" s="1"/>
  <c r="P178" i="53"/>
  <c r="P240" i="53" s="1"/>
  <c r="J178" i="53"/>
  <c r="J240" i="53" s="1"/>
  <c r="L178" i="53"/>
  <c r="L240" i="53" s="1"/>
  <c r="K178" i="53"/>
  <c r="K240" i="53" s="1"/>
  <c r="Z178" i="53"/>
  <c r="Z240" i="53" s="1"/>
  <c r="AA178" i="53"/>
  <c r="AA240" i="53" s="1"/>
  <c r="AB178" i="53"/>
  <c r="AB240" i="53" s="1"/>
  <c r="W178" i="53"/>
  <c r="W240" i="53" s="1"/>
  <c r="AA203" i="53"/>
  <c r="AA245" i="53" s="1"/>
  <c r="W203" i="53"/>
  <c r="W245" i="53" s="1"/>
  <c r="K203" i="53"/>
  <c r="K245" i="53" s="1"/>
  <c r="L203" i="53"/>
  <c r="L245" i="53" s="1"/>
  <c r="O203" i="53"/>
  <c r="O245" i="53" s="1"/>
  <c r="M203" i="53"/>
  <c r="M245" i="53" s="1"/>
  <c r="N203" i="53"/>
  <c r="N245" i="53" s="1"/>
  <c r="X203" i="53"/>
  <c r="X245" i="53" s="1"/>
  <c r="J203" i="53"/>
  <c r="J245" i="53" s="1"/>
  <c r="P203" i="53"/>
  <c r="P245" i="53" s="1"/>
  <c r="Z203" i="53"/>
  <c r="Z245" i="53" s="1"/>
  <c r="Y203" i="53"/>
  <c r="Y245" i="53" s="1"/>
  <c r="AB203" i="53"/>
  <c r="AB245" i="53" s="1"/>
  <c r="Y218" i="53"/>
  <c r="Y248" i="53" s="1"/>
  <c r="X218" i="53"/>
  <c r="X248" i="53" s="1"/>
  <c r="M218" i="53"/>
  <c r="M248" i="53" s="1"/>
  <c r="O218" i="53"/>
  <c r="O248" i="53" s="1"/>
  <c r="J218" i="53"/>
  <c r="J248" i="53" s="1"/>
  <c r="L218" i="53"/>
  <c r="L248" i="53" s="1"/>
  <c r="W218" i="53"/>
  <c r="W248" i="53" s="1"/>
  <c r="P218" i="53"/>
  <c r="P248" i="53" s="1"/>
  <c r="K218" i="53"/>
  <c r="K248" i="53" s="1"/>
  <c r="N218" i="53"/>
  <c r="N248" i="53" s="1"/>
  <c r="Z218" i="53"/>
  <c r="Z248" i="53" s="1"/>
  <c r="AA218" i="53"/>
  <c r="AA248" i="53" s="1"/>
  <c r="AB218" i="53"/>
  <c r="AB248" i="53" s="1"/>
  <c r="AB184" i="53"/>
  <c r="AB252" i="53" s="1"/>
  <c r="Y184" i="53"/>
  <c r="Y252" i="53" s="1"/>
  <c r="X184" i="53"/>
  <c r="X252" i="53" s="1"/>
  <c r="O184" i="53"/>
  <c r="O252" i="53" s="1"/>
  <c r="M184" i="53"/>
  <c r="M252" i="53" s="1"/>
  <c r="P184" i="53"/>
  <c r="P252" i="53" s="1"/>
  <c r="L184" i="53"/>
  <c r="L252" i="53" s="1"/>
  <c r="N184" i="53"/>
  <c r="N252" i="53" s="1"/>
  <c r="T184" i="53"/>
  <c r="T252" i="53" s="1"/>
  <c r="J184" i="53"/>
  <c r="J252" i="53" s="1"/>
  <c r="K184" i="53"/>
  <c r="K252" i="53" s="1"/>
  <c r="W184" i="53"/>
  <c r="W252" i="53" s="1"/>
  <c r="AA184" i="53"/>
  <c r="AA252" i="53" s="1"/>
  <c r="Z184" i="53"/>
  <c r="Z252" i="53" s="1"/>
  <c r="H155" i="53"/>
  <c r="T208" i="53" s="1"/>
  <c r="T246" i="53" s="1"/>
  <c r="H171" i="53"/>
  <c r="T218" i="53" s="1"/>
  <c r="T248" i="53" s="1"/>
  <c r="U217" i="53"/>
  <c r="U237" i="53" s="1"/>
  <c r="V217" i="53"/>
  <c r="V237" i="53" s="1"/>
  <c r="V197" i="53"/>
  <c r="V233" i="53" s="1"/>
  <c r="U197" i="53"/>
  <c r="U233" i="53" s="1"/>
  <c r="V204" i="53"/>
  <c r="V256" i="53" s="1"/>
  <c r="U204" i="53"/>
  <c r="U256" i="53" s="1"/>
  <c r="V184" i="53"/>
  <c r="V252" i="53" s="1"/>
  <c r="U184" i="53"/>
  <c r="U252" i="53" s="1"/>
  <c r="AB214" i="53"/>
  <c r="AB258" i="53" s="1"/>
  <c r="X214" i="53"/>
  <c r="X258" i="53" s="1"/>
  <c r="J214" i="53"/>
  <c r="J258" i="53" s="1"/>
  <c r="O214" i="53"/>
  <c r="O258" i="53" s="1"/>
  <c r="K214" i="53"/>
  <c r="K258" i="53" s="1"/>
  <c r="P214" i="53"/>
  <c r="P258" i="53" s="1"/>
  <c r="N214" i="53"/>
  <c r="N258" i="53" s="1"/>
  <c r="L214" i="53"/>
  <c r="L258" i="53" s="1"/>
  <c r="M214" i="53"/>
  <c r="M258" i="53" s="1"/>
  <c r="AA214" i="53"/>
  <c r="AA258" i="53" s="1"/>
  <c r="Z214" i="53"/>
  <c r="Z258" i="53" s="1"/>
  <c r="W214" i="53"/>
  <c r="W258" i="53" s="1"/>
  <c r="Y214" i="53"/>
  <c r="Y258" i="53" s="1"/>
  <c r="W209" i="53"/>
  <c r="W257" i="53" s="1"/>
  <c r="K209" i="53"/>
  <c r="K257" i="53" s="1"/>
  <c r="L209" i="53"/>
  <c r="L257" i="53" s="1"/>
  <c r="O209" i="53"/>
  <c r="O257" i="53" s="1"/>
  <c r="N209" i="53"/>
  <c r="N257" i="53" s="1"/>
  <c r="J209" i="53"/>
  <c r="J257" i="53" s="1"/>
  <c r="P209" i="53"/>
  <c r="P257" i="53" s="1"/>
  <c r="M209" i="53"/>
  <c r="M257" i="53" s="1"/>
  <c r="Z209" i="53"/>
  <c r="Z257" i="53" s="1"/>
  <c r="AB209" i="53"/>
  <c r="AB257" i="53" s="1"/>
  <c r="X209" i="53"/>
  <c r="X257" i="53" s="1"/>
  <c r="Y209" i="53"/>
  <c r="Y257" i="53" s="1"/>
  <c r="AA209" i="53"/>
  <c r="AA257" i="53" s="1"/>
  <c r="U177" i="53"/>
  <c r="U229" i="53" s="1"/>
  <c r="V177" i="53"/>
  <c r="V229" i="53" s="1"/>
  <c r="AB208" i="53"/>
  <c r="AB246" i="53" s="1"/>
  <c r="X208" i="53"/>
  <c r="X246" i="53" s="1"/>
  <c r="J208" i="53"/>
  <c r="J246" i="53" s="1"/>
  <c r="N208" i="53"/>
  <c r="N246" i="53" s="1"/>
  <c r="L208" i="53"/>
  <c r="L246" i="53" s="1"/>
  <c r="P208" i="53"/>
  <c r="P246" i="53" s="1"/>
  <c r="O208" i="53"/>
  <c r="O246" i="53" s="1"/>
  <c r="W208" i="53"/>
  <c r="W246" i="53" s="1"/>
  <c r="M208" i="53"/>
  <c r="M246" i="53" s="1"/>
  <c r="K208" i="53"/>
  <c r="K246" i="53" s="1"/>
  <c r="Z208" i="53"/>
  <c r="Z246" i="53" s="1"/>
  <c r="Y208" i="53"/>
  <c r="Y246" i="53" s="1"/>
  <c r="AA208" i="53"/>
  <c r="AA246" i="53" s="1"/>
  <c r="H54" i="86"/>
  <c r="U188" i="53"/>
  <c r="U242" i="53" s="1"/>
  <c r="V188" i="53"/>
  <c r="V242" i="53" s="1"/>
  <c r="V198" i="53"/>
  <c r="V244" i="53" s="1"/>
  <c r="U198" i="53"/>
  <c r="U244" i="53" s="1"/>
  <c r="V187" i="53"/>
  <c r="V231" i="53" s="1"/>
  <c r="U187" i="53"/>
  <c r="U231" i="53" s="1"/>
  <c r="U193" i="53"/>
  <c r="U243" i="53" s="1"/>
  <c r="V193" i="53"/>
  <c r="V243" i="53" s="1"/>
  <c r="V212" i="53"/>
  <c r="V236" i="53" s="1"/>
  <c r="U212" i="53"/>
  <c r="U236" i="53" s="1"/>
  <c r="U192" i="53"/>
  <c r="U232" i="53" s="1"/>
  <c r="V192" i="53"/>
  <c r="V232" i="53" s="1"/>
  <c r="W207" i="53"/>
  <c r="W235" i="53" s="1"/>
  <c r="K207" i="53"/>
  <c r="K235" i="53" s="1"/>
  <c r="L207" i="53"/>
  <c r="L235" i="53" s="1"/>
  <c r="O207" i="53"/>
  <c r="O235" i="53" s="1"/>
  <c r="P207" i="53"/>
  <c r="P235" i="53" s="1"/>
  <c r="N207" i="53"/>
  <c r="N235" i="53" s="1"/>
  <c r="J207" i="53"/>
  <c r="J235" i="53" s="1"/>
  <c r="T207" i="53"/>
  <c r="T235" i="53" s="1"/>
  <c r="M207" i="53"/>
  <c r="M235" i="53" s="1"/>
  <c r="Y207" i="53"/>
  <c r="Y235" i="53" s="1"/>
  <c r="AA207" i="53"/>
  <c r="AA235" i="53" s="1"/>
  <c r="AB207" i="53"/>
  <c r="AB235" i="53" s="1"/>
  <c r="Z207" i="53"/>
  <c r="Z235" i="53" s="1"/>
  <c r="X207" i="53"/>
  <c r="X235" i="53" s="1"/>
  <c r="AB202" i="53"/>
  <c r="AB234" i="53" s="1"/>
  <c r="X202" i="53"/>
  <c r="X234" i="53" s="1"/>
  <c r="N202" i="53"/>
  <c r="N234" i="53" s="1"/>
  <c r="J202" i="53"/>
  <c r="J234" i="53" s="1"/>
  <c r="P202" i="53"/>
  <c r="P234" i="53" s="1"/>
  <c r="O202" i="53"/>
  <c r="O234" i="53" s="1"/>
  <c r="M202" i="53"/>
  <c r="M234" i="53" s="1"/>
  <c r="K202" i="53"/>
  <c r="K234" i="53" s="1"/>
  <c r="T202" i="53"/>
  <c r="T234" i="53" s="1"/>
  <c r="L202" i="53"/>
  <c r="L234" i="53" s="1"/>
  <c r="W202" i="53"/>
  <c r="W234" i="53" s="1"/>
  <c r="Y202" i="53"/>
  <c r="Y234" i="53" s="1"/>
  <c r="AA202" i="53"/>
  <c r="AA234" i="53" s="1"/>
  <c r="Z202" i="53"/>
  <c r="Z234" i="53" s="1"/>
  <c r="W187" i="53"/>
  <c r="W231" i="53" s="1"/>
  <c r="K187" i="53"/>
  <c r="K231" i="53" s="1"/>
  <c r="L187" i="53"/>
  <c r="L231" i="53" s="1"/>
  <c r="O187" i="53"/>
  <c r="O231" i="53" s="1"/>
  <c r="N187" i="53"/>
  <c r="N231" i="53" s="1"/>
  <c r="M187" i="53"/>
  <c r="M231" i="53" s="1"/>
  <c r="T187" i="53"/>
  <c r="T231" i="53" s="1"/>
  <c r="Z187" i="53"/>
  <c r="Z231" i="53" s="1"/>
  <c r="P187" i="53"/>
  <c r="P231" i="53" s="1"/>
  <c r="J187" i="53"/>
  <c r="J231" i="53" s="1"/>
  <c r="AB187" i="53"/>
  <c r="AB231" i="53" s="1"/>
  <c r="AA187" i="53"/>
  <c r="AA231" i="53" s="1"/>
  <c r="Y187" i="53"/>
  <c r="Y231" i="53" s="1"/>
  <c r="X187" i="53"/>
  <c r="X231" i="53" s="1"/>
  <c r="W177" i="53"/>
  <c r="W229" i="53" s="1"/>
  <c r="K177" i="53"/>
  <c r="K229" i="53" s="1"/>
  <c r="L177" i="53"/>
  <c r="L229" i="53" s="1"/>
  <c r="O177" i="53"/>
  <c r="O229" i="53" s="1"/>
  <c r="M177" i="53"/>
  <c r="M229" i="53" s="1"/>
  <c r="T177" i="53"/>
  <c r="T229" i="53" s="1"/>
  <c r="X177" i="53"/>
  <c r="X229" i="53" s="1"/>
  <c r="N177" i="53"/>
  <c r="N229" i="53" s="1"/>
  <c r="J177" i="53"/>
  <c r="J229" i="53" s="1"/>
  <c r="Z177" i="53"/>
  <c r="Z229" i="53" s="1"/>
  <c r="P177" i="53"/>
  <c r="P229" i="53" s="1"/>
  <c r="Y177" i="53"/>
  <c r="Y229" i="53" s="1"/>
  <c r="AA177" i="53"/>
  <c r="AA229" i="53" s="1"/>
  <c r="AB177" i="53"/>
  <c r="AB229" i="53" s="1"/>
  <c r="W199" i="53"/>
  <c r="W255" i="53" s="1"/>
  <c r="K199" i="53"/>
  <c r="K255" i="53" s="1"/>
  <c r="O199" i="53"/>
  <c r="O255" i="53" s="1"/>
  <c r="L199" i="53"/>
  <c r="L255" i="53" s="1"/>
  <c r="P199" i="53"/>
  <c r="P255" i="53" s="1"/>
  <c r="M199" i="53"/>
  <c r="M255" i="53" s="1"/>
  <c r="Z199" i="53"/>
  <c r="Z255" i="53" s="1"/>
  <c r="N199" i="53"/>
  <c r="N255" i="53" s="1"/>
  <c r="J199" i="53"/>
  <c r="J255" i="53" s="1"/>
  <c r="X199" i="53"/>
  <c r="X255" i="53" s="1"/>
  <c r="AB199" i="53"/>
  <c r="AB255" i="53" s="1"/>
  <c r="Y199" i="53"/>
  <c r="Y255" i="53" s="1"/>
  <c r="AA199" i="53"/>
  <c r="AA255" i="53" s="1"/>
  <c r="AA179" i="53"/>
  <c r="AA251" i="53" s="1"/>
  <c r="W179" i="53"/>
  <c r="W251" i="53" s="1"/>
  <c r="K179" i="53"/>
  <c r="K251" i="53" s="1"/>
  <c r="L179" i="53"/>
  <c r="L251" i="53" s="1"/>
  <c r="O179" i="53"/>
  <c r="O251" i="53" s="1"/>
  <c r="N179" i="53"/>
  <c r="N251" i="53" s="1"/>
  <c r="J179" i="53"/>
  <c r="J251" i="53" s="1"/>
  <c r="T179" i="53"/>
  <c r="T251" i="53" s="1"/>
  <c r="P179" i="53"/>
  <c r="P251" i="53" s="1"/>
  <c r="M179" i="53"/>
  <c r="M251" i="53" s="1"/>
  <c r="Z179" i="53"/>
  <c r="Z251" i="53" s="1"/>
  <c r="Y179" i="53"/>
  <c r="Y251" i="53" s="1"/>
  <c r="X179" i="53"/>
  <c r="X251" i="53" s="1"/>
  <c r="AB179" i="53"/>
  <c r="AB251" i="53" s="1"/>
  <c r="W193" i="53"/>
  <c r="W243" i="53" s="1"/>
  <c r="O193" i="53"/>
  <c r="O243" i="53" s="1"/>
  <c r="K193" i="53"/>
  <c r="K243" i="53" s="1"/>
  <c r="L193" i="53"/>
  <c r="L243" i="53" s="1"/>
  <c r="J193" i="53"/>
  <c r="J243" i="53" s="1"/>
  <c r="P193" i="53"/>
  <c r="P243" i="53" s="1"/>
  <c r="N193" i="53"/>
  <c r="N243" i="53" s="1"/>
  <c r="Z193" i="53"/>
  <c r="Z243" i="53" s="1"/>
  <c r="M193" i="53"/>
  <c r="M243" i="53" s="1"/>
  <c r="Y193" i="53"/>
  <c r="Y243" i="53" s="1"/>
  <c r="X193" i="53"/>
  <c r="X243" i="53" s="1"/>
  <c r="AB193" i="53"/>
  <c r="AB243" i="53" s="1"/>
  <c r="AA193" i="53"/>
  <c r="AA243" i="53" s="1"/>
  <c r="W183" i="53"/>
  <c r="W241" i="53" s="1"/>
  <c r="K183" i="53"/>
  <c r="K241" i="53" s="1"/>
  <c r="L183" i="53"/>
  <c r="L241" i="53" s="1"/>
  <c r="O183" i="53"/>
  <c r="O241" i="53" s="1"/>
  <c r="N183" i="53"/>
  <c r="N241" i="53" s="1"/>
  <c r="J183" i="53"/>
  <c r="J241" i="53" s="1"/>
  <c r="P183" i="53"/>
  <c r="P241" i="53" s="1"/>
  <c r="M183" i="53"/>
  <c r="M241" i="53" s="1"/>
  <c r="X183" i="53"/>
  <c r="X241" i="53" s="1"/>
  <c r="AA183" i="53"/>
  <c r="AA241" i="53" s="1"/>
  <c r="AB183" i="53"/>
  <c r="AB241" i="53" s="1"/>
  <c r="Z183" i="53"/>
  <c r="Z241" i="53" s="1"/>
  <c r="Y183" i="53"/>
  <c r="Y241" i="53" s="1"/>
  <c r="AB194" i="53"/>
  <c r="AB254" i="53" s="1"/>
  <c r="X194" i="53"/>
  <c r="X254" i="53" s="1"/>
  <c r="Z194" i="53"/>
  <c r="Z254" i="53" s="1"/>
  <c r="J194" i="53"/>
  <c r="J254" i="53" s="1"/>
  <c r="N194" i="53"/>
  <c r="N254" i="53" s="1"/>
  <c r="M194" i="53"/>
  <c r="M254" i="53" s="1"/>
  <c r="L194" i="53"/>
  <c r="L254" i="53" s="1"/>
  <c r="P194" i="53"/>
  <c r="P254" i="53" s="1"/>
  <c r="W194" i="53"/>
  <c r="W254" i="53" s="1"/>
  <c r="O194" i="53"/>
  <c r="O254" i="53" s="1"/>
  <c r="K194" i="53"/>
  <c r="K254" i="53" s="1"/>
  <c r="Y194" i="53"/>
  <c r="Y254" i="53" s="1"/>
  <c r="AA194" i="53"/>
  <c r="AA254" i="53" s="1"/>
  <c r="H147" i="53"/>
  <c r="T203" i="53" s="1"/>
  <c r="T245" i="53" s="1"/>
  <c r="M60" i="23"/>
  <c r="H115" i="53"/>
  <c r="T183" i="53" s="1"/>
  <c r="T241" i="53" s="1"/>
  <c r="R60" i="23"/>
  <c r="M31" i="81"/>
  <c r="H124" i="53"/>
  <c r="T189" i="53" s="1"/>
  <c r="T253" i="53" s="1"/>
  <c r="P85" i="31"/>
  <c r="Q70" i="31"/>
  <c r="J81" i="31"/>
  <c r="Q72" i="31"/>
  <c r="R82" i="31"/>
  <c r="S68" i="31"/>
  <c r="S138" i="31" s="1"/>
  <c r="Q71" i="31"/>
  <c r="K81" i="31"/>
  <c r="Q84" i="31"/>
  <c r="J79" i="31"/>
  <c r="L84" i="31"/>
  <c r="P70" i="31"/>
  <c r="P79" i="31"/>
  <c r="L85" i="31"/>
  <c r="L78" i="31"/>
  <c r="S74" i="31"/>
  <c r="S144" i="31" s="1"/>
  <c r="H132" i="53"/>
  <c r="T194" i="53" s="1"/>
  <c r="T254" i="53" s="1"/>
  <c r="S85" i="31"/>
  <c r="S155" i="31" s="1"/>
  <c r="K79" i="31"/>
  <c r="K70" i="31"/>
  <c r="P73" i="31"/>
  <c r="K68" i="31"/>
  <c r="J86" i="31"/>
  <c r="R73" i="31"/>
  <c r="R143" i="31" s="1"/>
  <c r="H166" i="90"/>
  <c r="H168" i="90"/>
  <c r="H53" i="86"/>
  <c r="H169" i="90"/>
  <c r="H170" i="90"/>
  <c r="A3" i="80"/>
  <c r="S149" i="31"/>
  <c r="H53" i="80"/>
  <c r="S31" i="81"/>
  <c r="S148" i="31"/>
  <c r="H48" i="80"/>
  <c r="H47" i="80"/>
  <c r="L53" i="82"/>
  <c r="H112" i="89"/>
  <c r="H111" i="89"/>
  <c r="Q31" i="81"/>
  <c r="H72" i="89"/>
  <c r="H80" i="89" s="1"/>
  <c r="H87" i="89" s="1"/>
  <c r="H37" i="41" s="1"/>
  <c r="J53" i="82"/>
  <c r="K31" i="81"/>
  <c r="A3" i="53"/>
  <c r="H140" i="53"/>
  <c r="T199" i="53" s="1"/>
  <c r="T255" i="53" s="1"/>
  <c r="H164" i="53"/>
  <c r="T214" i="53" s="1"/>
  <c r="T258" i="53" s="1"/>
  <c r="K82" i="31"/>
  <c r="R85" i="31"/>
  <c r="L82" i="31"/>
  <c r="J73" i="31"/>
  <c r="J85" i="31"/>
  <c r="P114" i="31"/>
  <c r="P118" i="31"/>
  <c r="J128" i="31"/>
  <c r="Q118" i="31"/>
  <c r="P113" i="31"/>
  <c r="R118" i="31"/>
  <c r="R127" i="31"/>
  <c r="Q124" i="31"/>
  <c r="S131" i="31"/>
  <c r="Q126" i="31"/>
  <c r="R81" i="31"/>
  <c r="L68" i="31"/>
  <c r="S81" i="31"/>
  <c r="S151" i="31" s="1"/>
  <c r="K72" i="31"/>
  <c r="R68" i="31"/>
  <c r="P72" i="31"/>
  <c r="J82" i="31"/>
  <c r="Q81" i="31"/>
  <c r="L70" i="31"/>
  <c r="L69" i="31"/>
  <c r="J119" i="31"/>
  <c r="P125" i="31"/>
  <c r="P129" i="31"/>
  <c r="J114" i="31"/>
  <c r="L124" i="31"/>
  <c r="S127" i="31"/>
  <c r="S129" i="31"/>
  <c r="S83" i="31"/>
  <c r="S153" i="31" s="1"/>
  <c r="K74" i="31"/>
  <c r="Q69" i="31"/>
  <c r="R78" i="31"/>
  <c r="R148" i="31" s="1"/>
  <c r="L86" i="31"/>
  <c r="J70" i="31"/>
  <c r="L73" i="31"/>
  <c r="Q83" i="31"/>
  <c r="S86" i="31"/>
  <c r="J78" i="31"/>
  <c r="L80" i="31"/>
  <c r="L116" i="31"/>
  <c r="Q129" i="31"/>
  <c r="P115" i="31"/>
  <c r="P124" i="31"/>
  <c r="R129" i="31"/>
  <c r="K116" i="31"/>
  <c r="R69" i="31"/>
  <c r="R139" i="31" s="1"/>
  <c r="K86" i="31"/>
  <c r="S71" i="31"/>
  <c r="S141" i="31" s="1"/>
  <c r="L79" i="31"/>
  <c r="P74" i="31"/>
  <c r="K78" i="31"/>
  <c r="L83" i="31"/>
  <c r="L72" i="31"/>
  <c r="Q85" i="31"/>
  <c r="J83" i="31"/>
  <c r="Q74" i="31"/>
  <c r="J72" i="31"/>
  <c r="J84" i="31"/>
  <c r="S82" i="31"/>
  <c r="P86" i="31"/>
  <c r="R70" i="31"/>
  <c r="K80" i="31"/>
  <c r="R71" i="31"/>
  <c r="P69" i="31"/>
  <c r="J80" i="31"/>
  <c r="J69" i="31"/>
  <c r="S84" i="31"/>
  <c r="S154" i="31" s="1"/>
  <c r="P80" i="31"/>
  <c r="R79" i="31"/>
  <c r="R149" i="31" s="1"/>
  <c r="K130" i="31"/>
  <c r="K128" i="31"/>
  <c r="K126" i="31"/>
  <c r="K124" i="31"/>
  <c r="K119" i="31"/>
  <c r="K117" i="31"/>
  <c r="K115" i="31"/>
  <c r="K113" i="31"/>
  <c r="K114" i="31"/>
  <c r="Q113" i="31"/>
  <c r="K127" i="31"/>
  <c r="K123" i="31"/>
  <c r="L126" i="31"/>
  <c r="L115" i="31"/>
  <c r="S130" i="31"/>
  <c r="Q125" i="31"/>
  <c r="S119" i="31"/>
  <c r="Q114" i="31"/>
  <c r="K125" i="31"/>
  <c r="J131" i="31"/>
  <c r="P128" i="31"/>
  <c r="R125" i="31"/>
  <c r="J123" i="31"/>
  <c r="P117" i="31"/>
  <c r="R114" i="31"/>
  <c r="R130" i="31"/>
  <c r="R128" i="31"/>
  <c r="R126" i="31"/>
  <c r="R124" i="31"/>
  <c r="R119" i="31"/>
  <c r="R117" i="31"/>
  <c r="R115" i="31"/>
  <c r="R113" i="31"/>
  <c r="Q119" i="31"/>
  <c r="S123" i="31"/>
  <c r="K131" i="31"/>
  <c r="S116" i="31"/>
  <c r="L128" i="31"/>
  <c r="L117" i="31"/>
  <c r="Q127" i="31"/>
  <c r="S124" i="31"/>
  <c r="Q116" i="31"/>
  <c r="S113" i="31"/>
  <c r="J113" i="31"/>
  <c r="Q115" i="31"/>
  <c r="R123" i="31"/>
  <c r="J116" i="31"/>
  <c r="Q123" i="31"/>
  <c r="S115" i="31"/>
  <c r="L129" i="31"/>
  <c r="L118" i="31"/>
  <c r="Q130" i="31"/>
  <c r="R131" i="31"/>
  <c r="J127" i="31"/>
  <c r="P119" i="31"/>
  <c r="Q131" i="31"/>
  <c r="S126" i="31"/>
  <c r="P131" i="31"/>
  <c r="J126" i="31"/>
  <c r="P123" i="31"/>
  <c r="J115" i="31"/>
  <c r="K83" i="31"/>
  <c r="Q78" i="31"/>
  <c r="S70" i="31"/>
  <c r="S140" i="31" s="1"/>
  <c r="K84" i="31"/>
  <c r="R72" i="31"/>
  <c r="R83" i="31"/>
  <c r="K71" i="31"/>
  <c r="R74" i="31"/>
  <c r="P81" i="31"/>
  <c r="L71" i="31"/>
  <c r="L81" i="31"/>
  <c r="Q68" i="31"/>
  <c r="J117" i="31"/>
  <c r="J124" i="31"/>
  <c r="P127" i="31"/>
  <c r="S117" i="31"/>
  <c r="S114" i="31"/>
  <c r="J118" i="31"/>
  <c r="P126" i="31"/>
  <c r="Q128" i="31"/>
  <c r="K85" i="31"/>
  <c r="Q80" i="31"/>
  <c r="S72" i="31"/>
  <c r="S142" i="31" s="1"/>
  <c r="J71" i="31"/>
  <c r="L74" i="31"/>
  <c r="S80" i="31"/>
  <c r="S150" i="31" s="1"/>
  <c r="P84" i="31"/>
  <c r="P71" i="31"/>
  <c r="R84" i="31"/>
  <c r="R80" i="31"/>
  <c r="L114" i="31"/>
  <c r="L131" i="31"/>
  <c r="L113" i="31"/>
  <c r="Q79" i="31"/>
  <c r="J74" i="31"/>
  <c r="K129" i="31"/>
  <c r="S118" i="31"/>
  <c r="H167" i="90"/>
  <c r="A3" i="72"/>
  <c r="A3" i="86"/>
  <c r="A3" i="90"/>
  <c r="A3" i="83"/>
  <c r="A3" i="41"/>
  <c r="A3" i="89"/>
  <c r="C190" i="105"/>
  <c r="G207" i="85" s="1"/>
  <c r="A3" i="106"/>
  <c r="A3" i="31"/>
  <c r="A3" i="55"/>
  <c r="A3" i="70"/>
  <c r="A3" i="23"/>
  <c r="A3" i="81"/>
  <c r="A3" i="28"/>
  <c r="A3" i="74"/>
  <c r="A3" i="84"/>
  <c r="A3" i="105"/>
  <c r="A3" i="87"/>
  <c r="A3" i="82"/>
  <c r="A3" i="22"/>
  <c r="A3" i="111"/>
  <c r="A3" i="76"/>
  <c r="A3" i="71"/>
  <c r="A3" i="73"/>
  <c r="A3" i="85"/>
  <c r="A3" i="65"/>
  <c r="C95" i="89"/>
  <c r="G99" i="85" s="1"/>
  <c r="C92" i="41"/>
  <c r="G184" i="85" s="1"/>
  <c r="C31" i="86"/>
  <c r="G93" i="85" s="1"/>
  <c r="C41" i="23"/>
  <c r="G108" i="85" s="1"/>
  <c r="C37" i="76"/>
  <c r="G152" i="85" s="1"/>
  <c r="C126" i="105"/>
  <c r="G202" i="85" s="1"/>
  <c r="C15" i="41"/>
  <c r="G181" i="85" s="1"/>
  <c r="C17" i="76"/>
  <c r="G150" i="85" s="1"/>
  <c r="C13" i="89"/>
  <c r="G95" i="85" s="1"/>
  <c r="C35" i="89"/>
  <c r="G97" i="85" s="1"/>
  <c r="C99" i="89"/>
  <c r="G100" i="85" s="1"/>
  <c r="C81" i="105"/>
  <c r="G200" i="85" s="1"/>
  <c r="C13" i="86"/>
  <c r="G91" i="85" s="1"/>
  <c r="C25" i="89"/>
  <c r="G96" i="85" s="1"/>
  <c r="C35" i="86"/>
  <c r="G94" i="85" s="1"/>
  <c r="C68" i="41"/>
  <c r="G183" i="85" s="1"/>
  <c r="C16" i="65"/>
  <c r="G189" i="85" s="1"/>
  <c r="C131" i="41"/>
  <c r="G185" i="85" s="1"/>
  <c r="C28" i="65"/>
  <c r="G190" i="85" s="1"/>
  <c r="C18" i="87"/>
  <c r="G87" i="85" s="1"/>
  <c r="C132" i="105"/>
  <c r="G203" i="85" s="1"/>
  <c r="C140" i="105"/>
  <c r="G204" i="85" s="1"/>
  <c r="C13" i="90"/>
  <c r="G77" i="85" s="1"/>
  <c r="C20" i="90"/>
  <c r="G78" i="85" s="1"/>
  <c r="C99" i="90"/>
  <c r="G82" i="85" s="1"/>
  <c r="C15" i="22"/>
  <c r="G109" i="85" s="1"/>
  <c r="C25" i="31"/>
  <c r="G103" i="85" s="1"/>
  <c r="C35" i="31"/>
  <c r="G104" i="85" s="1"/>
  <c r="C18" i="53"/>
  <c r="G111" i="85" s="1"/>
  <c r="C52" i="53"/>
  <c r="G114" i="85" s="1"/>
  <c r="C100" i="53"/>
  <c r="G118" i="85" s="1"/>
  <c r="C221" i="53"/>
  <c r="G120" i="85" s="1"/>
  <c r="C19" i="73"/>
  <c r="G166" i="85" s="1"/>
  <c r="C19" i="71"/>
  <c r="G153" i="85" s="1"/>
  <c r="C49" i="71"/>
  <c r="G154" i="85" s="1"/>
  <c r="C109" i="71"/>
  <c r="G156" i="85" s="1"/>
  <c r="C154" i="71"/>
  <c r="G158" i="85" s="1"/>
  <c r="C120" i="72"/>
  <c r="G162" i="85" s="1"/>
  <c r="C190" i="72"/>
  <c r="G164" i="85" s="1"/>
  <c r="C189" i="73"/>
  <c r="G169" i="85" s="1"/>
  <c r="C254" i="73"/>
  <c r="G171" i="85" s="1"/>
  <c r="C52" i="74"/>
  <c r="G175" i="85" s="1"/>
  <c r="C67" i="74"/>
  <c r="G177" i="85" s="1"/>
  <c r="C127" i="74"/>
  <c r="G179" i="85" s="1"/>
  <c r="C259" i="73"/>
  <c r="G172" i="85" s="1"/>
  <c r="C159" i="74"/>
  <c r="G180" i="85" s="1"/>
  <c r="C67" i="80"/>
  <c r="G124" i="85" s="1"/>
  <c r="C138" i="80"/>
  <c r="G125" i="85" s="1"/>
  <c r="C184" i="80"/>
  <c r="G127" i="85" s="1"/>
  <c r="C236" i="80"/>
  <c r="G129" i="85" s="1"/>
  <c r="C35" i="81"/>
  <c r="G135" i="85" s="1"/>
  <c r="C50" i="81"/>
  <c r="G137" i="85" s="1"/>
  <c r="C69" i="81"/>
  <c r="G139" i="85" s="1"/>
  <c r="C92" i="81"/>
  <c r="G141" i="85" s="1"/>
  <c r="C110" i="81"/>
  <c r="G143" i="85" s="1"/>
  <c r="C117" i="81"/>
  <c r="G144" i="85" s="1"/>
  <c r="C14" i="82"/>
  <c r="G209" i="85" s="1"/>
  <c r="C67" i="82"/>
  <c r="G213" i="85" s="1"/>
  <c r="C27" i="82"/>
  <c r="G210" i="85" s="1"/>
  <c r="C13" i="83"/>
  <c r="G145" i="85" s="1"/>
  <c r="C118" i="83"/>
  <c r="G146" i="85" s="1"/>
  <c r="C175" i="83"/>
  <c r="G148" i="85" s="1"/>
  <c r="C33" i="90"/>
  <c r="G79" i="85" s="1"/>
  <c r="C84" i="90"/>
  <c r="G81" i="85" s="1"/>
  <c r="C141" i="90"/>
  <c r="G83" i="85" s="1"/>
  <c r="C13" i="105"/>
  <c r="G197" i="85" s="1"/>
  <c r="C71" i="105"/>
  <c r="G199" i="85" s="1"/>
  <c r="C113" i="105"/>
  <c r="G201" i="85" s="1"/>
  <c r="C166" i="105"/>
  <c r="G206" i="85" s="1"/>
  <c r="C151" i="105"/>
  <c r="G205" i="85" s="1"/>
  <c r="C43" i="90"/>
  <c r="G80" i="85" s="1"/>
  <c r="C17" i="31"/>
  <c r="G102" i="85" s="1"/>
  <c r="C40" i="31"/>
  <c r="G105" i="85" s="1"/>
  <c r="C28" i="53"/>
  <c r="G112" i="85" s="1"/>
  <c r="C60" i="53"/>
  <c r="G115" i="85" s="1"/>
  <c r="C87" i="53"/>
  <c r="G117" i="85" s="1"/>
  <c r="C174" i="53"/>
  <c r="G119" i="85" s="1"/>
  <c r="C16" i="74"/>
  <c r="G173" i="85" s="1"/>
  <c r="C17" i="72"/>
  <c r="G161" i="85" s="1"/>
  <c r="C79" i="71"/>
  <c r="G155" i="85" s="1"/>
  <c r="C124" i="71"/>
  <c r="G157" i="85" s="1"/>
  <c r="C184" i="71"/>
  <c r="G159" i="85" s="1"/>
  <c r="C155" i="72"/>
  <c r="G163" i="85" s="1"/>
  <c r="C129" i="73"/>
  <c r="G167" i="85" s="1"/>
  <c r="C159" i="73"/>
  <c r="G168" i="85" s="1"/>
  <c r="C22" i="74"/>
  <c r="G174" i="85" s="1"/>
  <c r="C58" i="74"/>
  <c r="G176" i="85" s="1"/>
  <c r="C18" i="80"/>
  <c r="G123" i="85" s="1"/>
  <c r="C164" i="80"/>
  <c r="G126" i="85" s="1"/>
  <c r="C194" i="80"/>
  <c r="G128" i="85" s="1"/>
  <c r="C249" i="80"/>
  <c r="G130" i="85" s="1"/>
  <c r="C19" i="81"/>
  <c r="G133" i="85" s="1"/>
  <c r="C27" i="81"/>
  <c r="G134" i="85" s="1"/>
  <c r="C42" i="81"/>
  <c r="G136" i="85" s="1"/>
  <c r="C62" i="81"/>
  <c r="G138" i="85" s="1"/>
  <c r="C80" i="81"/>
  <c r="G140" i="85" s="1"/>
  <c r="C45" i="82"/>
  <c r="G211" i="85" s="1"/>
  <c r="C146" i="83"/>
  <c r="G147" i="85" s="1"/>
  <c r="M74" i="31" l="1"/>
  <c r="M129" i="31"/>
  <c r="S62" i="22"/>
  <c r="S110" i="22"/>
  <c r="S84" i="22"/>
  <c r="S73" i="22"/>
  <c r="S132" i="22"/>
  <c r="S121" i="22"/>
  <c r="S99" i="22"/>
  <c r="S100" i="22"/>
  <c r="S111" i="22"/>
  <c r="S63" i="22"/>
  <c r="S133" i="22"/>
  <c r="S85" i="22"/>
  <c r="S122" i="22"/>
  <c r="S74" i="22"/>
  <c r="R121" i="22"/>
  <c r="R62" i="22"/>
  <c r="R84" i="22"/>
  <c r="R132" i="22"/>
  <c r="R110" i="22"/>
  <c r="R99" i="22"/>
  <c r="R73" i="22"/>
  <c r="Q111" i="22"/>
  <c r="Q122" i="22"/>
  <c r="Q85" i="22"/>
  <c r="Q100" i="22"/>
  <c r="Q74" i="22"/>
  <c r="Q63" i="22"/>
  <c r="Q133" i="22"/>
  <c r="R122" i="22"/>
  <c r="R63" i="22"/>
  <c r="R133" i="22"/>
  <c r="R100" i="22"/>
  <c r="R111" i="22"/>
  <c r="R74" i="22"/>
  <c r="R85" i="22"/>
  <c r="Q99" i="22"/>
  <c r="Q62" i="22"/>
  <c r="Q132" i="22"/>
  <c r="Q73" i="22"/>
  <c r="Q110" i="22"/>
  <c r="Q84" i="22"/>
  <c r="Q121" i="22"/>
  <c r="O53" i="82"/>
  <c r="H35" i="72"/>
  <c r="H38" i="72"/>
  <c r="H42" i="72"/>
  <c r="H40" i="72"/>
  <c r="H41" i="72"/>
  <c r="H36" i="72"/>
  <c r="H39" i="72"/>
  <c r="H37" i="72"/>
  <c r="H43" i="72"/>
  <c r="H44" i="72"/>
  <c r="H37" i="73" a="1"/>
  <c r="H50" i="80"/>
  <c r="H43" i="83" a="1"/>
  <c r="M86" i="31"/>
  <c r="M118" i="31"/>
  <c r="M80" i="31"/>
  <c r="M79" i="31"/>
  <c r="R113" i="71"/>
  <c r="R24" i="80"/>
  <c r="R82" i="72"/>
  <c r="R95" i="73"/>
  <c r="M69" i="31"/>
  <c r="Q95" i="73"/>
  <c r="Q24" i="80"/>
  <c r="Q82" i="72"/>
  <c r="Q113" i="71"/>
  <c r="M119" i="31"/>
  <c r="S82" i="72"/>
  <c r="S24" i="80"/>
  <c r="S113" i="71"/>
  <c r="S95" i="73"/>
  <c r="M130" i="31"/>
  <c r="M113" i="31"/>
  <c r="M78" i="31"/>
  <c r="M81" i="31"/>
  <c r="M115" i="31"/>
  <c r="M123" i="31"/>
  <c r="M127" i="31"/>
  <c r="M114" i="31"/>
  <c r="M124" i="31"/>
  <c r="M117" i="31"/>
  <c r="M85" i="31"/>
  <c r="M84" i="31"/>
  <c r="M73" i="31"/>
  <c r="M83" i="31"/>
  <c r="M125" i="31"/>
  <c r="M128" i="31"/>
  <c r="M82" i="31"/>
  <c r="M71" i="31"/>
  <c r="M72" i="31"/>
  <c r="M70" i="31"/>
  <c r="M116" i="31"/>
  <c r="P145" i="31"/>
  <c r="P146" i="31"/>
  <c r="P147" i="31"/>
  <c r="N121" i="31"/>
  <c r="N122" i="31"/>
  <c r="N120" i="31"/>
  <c r="M121" i="31"/>
  <c r="M122" i="31"/>
  <c r="M120" i="31"/>
  <c r="O122" i="31"/>
  <c r="O120" i="31"/>
  <c r="O121" i="31"/>
  <c r="N130" i="31"/>
  <c r="N76" i="31"/>
  <c r="N77" i="31"/>
  <c r="N75" i="31"/>
  <c r="M131" i="31"/>
  <c r="M76" i="31"/>
  <c r="M77" i="31"/>
  <c r="M75" i="31"/>
  <c r="O84" i="31"/>
  <c r="O154" i="31" s="1"/>
  <c r="O77" i="31"/>
  <c r="O147" i="31" s="1"/>
  <c r="O75" i="31"/>
  <c r="O145" i="31" s="1"/>
  <c r="O76" i="31"/>
  <c r="O146" i="31" s="1"/>
  <c r="N115" i="31"/>
  <c r="N81" i="31"/>
  <c r="N82" i="31"/>
  <c r="N126" i="31"/>
  <c r="N114" i="31"/>
  <c r="N119" i="31"/>
  <c r="N124" i="31"/>
  <c r="N129" i="31"/>
  <c r="N86" i="31"/>
  <c r="N117" i="31"/>
  <c r="N131" i="31"/>
  <c r="N69" i="31"/>
  <c r="N73" i="31"/>
  <c r="N84" i="31"/>
  <c r="N70" i="31"/>
  <c r="N116" i="31"/>
  <c r="N85" i="31"/>
  <c r="N83" i="31"/>
  <c r="N79" i="31"/>
  <c r="N118" i="31"/>
  <c r="N80" i="31"/>
  <c r="N71" i="31"/>
  <c r="N78" i="31"/>
  <c r="N123" i="31"/>
  <c r="N125" i="31"/>
  <c r="N74" i="31"/>
  <c r="N127" i="31"/>
  <c r="N72" i="31"/>
  <c r="N68" i="31"/>
  <c r="N128" i="31"/>
  <c r="N113" i="31"/>
  <c r="O119" i="31"/>
  <c r="O71" i="31"/>
  <c r="O141" i="31" s="1"/>
  <c r="O124" i="31"/>
  <c r="O85" i="31"/>
  <c r="O70" i="31"/>
  <c r="O140" i="31" s="1"/>
  <c r="O68" i="31"/>
  <c r="O138" i="31" s="1"/>
  <c r="O118" i="31"/>
  <c r="O128" i="31"/>
  <c r="O116" i="31"/>
  <c r="O115" i="31"/>
  <c r="O81" i="31"/>
  <c r="O126" i="31"/>
  <c r="O130" i="31"/>
  <c r="O125" i="31"/>
  <c r="O127" i="31"/>
  <c r="O69" i="31"/>
  <c r="O78" i="31"/>
  <c r="O72" i="31"/>
  <c r="O129" i="31"/>
  <c r="O73" i="31"/>
  <c r="O143" i="31" s="1"/>
  <c r="O114" i="31"/>
  <c r="O80" i="31"/>
  <c r="J150" i="31" s="1"/>
  <c r="O79" i="31"/>
  <c r="O123" i="31"/>
  <c r="O82" i="31"/>
  <c r="O74" i="31"/>
  <c r="O113" i="31"/>
  <c r="O83" i="31"/>
  <c r="O117" i="31"/>
  <c r="O131" i="31"/>
  <c r="O86" i="31"/>
  <c r="H108" i="89" a="1"/>
  <c r="H108" i="89" s="1"/>
  <c r="H114" i="89" s="1"/>
  <c r="Z134" i="65"/>
  <c r="Z49" i="105" s="1"/>
  <c r="Z88" i="105" s="1"/>
  <c r="AA135" i="65"/>
  <c r="AA50" i="105" s="1"/>
  <c r="AA89" i="105" s="1"/>
  <c r="AA124" i="65"/>
  <c r="AA153" i="65" s="1"/>
  <c r="AA68" i="105" s="1"/>
  <c r="AA186" i="105" s="1"/>
  <c r="Z135" i="65"/>
  <c r="Z50" i="105" s="1"/>
  <c r="Z89" i="105" s="1"/>
  <c r="X43" i="82"/>
  <c r="Y47" i="65"/>
  <c r="M43" i="82"/>
  <c r="M47" i="65"/>
  <c r="U43" i="82"/>
  <c r="U47" i="65"/>
  <c r="T54" i="112"/>
  <c r="T60" i="112" s="1"/>
  <c r="T47" i="65"/>
  <c r="W47" i="65"/>
  <c r="M54" i="112"/>
  <c r="M60" i="112" s="1"/>
  <c r="Y54" i="112"/>
  <c r="Y60" i="112" s="1"/>
  <c r="T43" i="82"/>
  <c r="W54" i="112"/>
  <c r="W60" i="112" s="1"/>
  <c r="W43" i="82"/>
  <c r="V54" i="112"/>
  <c r="V60" i="112" s="1"/>
  <c r="V43" i="82"/>
  <c r="K43" i="82"/>
  <c r="K54" i="112"/>
  <c r="K60" i="112" s="1"/>
  <c r="Z54" i="112"/>
  <c r="Z60" i="112" s="1"/>
  <c r="X54" i="112"/>
  <c r="X60" i="112" s="1"/>
  <c r="W68" i="105"/>
  <c r="W186" i="105" s="1"/>
  <c r="W58" i="105"/>
  <c r="W174" i="105" s="1"/>
  <c r="W67" i="105"/>
  <c r="W185" i="105" s="1"/>
  <c r="W59" i="105"/>
  <c r="W175" i="105" s="1"/>
  <c r="H172" i="90"/>
  <c r="A4" i="90" s="1"/>
  <c r="AA67" i="105"/>
  <c r="AA185" i="105" s="1"/>
  <c r="P31" i="81"/>
  <c r="H56" i="86"/>
  <c r="A4" i="86" s="1"/>
  <c r="R138" i="31"/>
  <c r="P156" i="31"/>
  <c r="R153" i="31"/>
  <c r="K21" i="31"/>
  <c r="K23" i="31" s="1"/>
  <c r="L20" i="31"/>
  <c r="N84" i="22"/>
  <c r="N110" i="22"/>
  <c r="N121" i="22"/>
  <c r="N132" i="22"/>
  <c r="N99" i="22"/>
  <c r="N73" i="22"/>
  <c r="N62" i="22"/>
  <c r="T73" i="22"/>
  <c r="T99" i="22"/>
  <c r="T110" i="22"/>
  <c r="T121" i="22"/>
  <c r="T132" i="22"/>
  <c r="T62" i="22"/>
  <c r="T84" i="22"/>
  <c r="P82" i="72"/>
  <c r="P113" i="71"/>
  <c r="P95" i="73"/>
  <c r="P24" i="80"/>
  <c r="L113" i="71"/>
  <c r="L24" i="80"/>
  <c r="L82" i="72"/>
  <c r="L95" i="73"/>
  <c r="J74" i="22"/>
  <c r="J100" i="22"/>
  <c r="J63" i="22"/>
  <c r="J133" i="22"/>
  <c r="J85" i="22"/>
  <c r="J122" i="22"/>
  <c r="J111" i="22"/>
  <c r="L60" i="23"/>
  <c r="O60" i="23"/>
  <c r="J73" i="22"/>
  <c r="J110" i="22"/>
  <c r="J62" i="22"/>
  <c r="J99" i="22"/>
  <c r="J132" i="22"/>
  <c r="J84" i="22"/>
  <c r="J121" i="22"/>
  <c r="O73" i="22"/>
  <c r="O99" i="22"/>
  <c r="O110" i="22"/>
  <c r="O132" i="22"/>
  <c r="O84" i="22"/>
  <c r="O62" i="22"/>
  <c r="O121" i="22"/>
  <c r="P99" i="22"/>
  <c r="P121" i="22"/>
  <c r="P110" i="22"/>
  <c r="P62" i="22"/>
  <c r="P84" i="22"/>
  <c r="P73" i="22"/>
  <c r="P132" i="22"/>
  <c r="T24" i="80"/>
  <c r="T113" i="71"/>
  <c r="T82" i="72"/>
  <c r="T95" i="73"/>
  <c r="O113" i="71"/>
  <c r="O24" i="80"/>
  <c r="O82" i="72"/>
  <c r="O95" i="73"/>
  <c r="P74" i="22"/>
  <c r="P111" i="22"/>
  <c r="P122" i="22"/>
  <c r="P133" i="22"/>
  <c r="P85" i="22"/>
  <c r="P63" i="22"/>
  <c r="P100" i="22"/>
  <c r="L85" i="22"/>
  <c r="L100" i="22"/>
  <c r="L111" i="22"/>
  <c r="L122" i="22"/>
  <c r="L133" i="22"/>
  <c r="L63" i="22"/>
  <c r="L74" i="22"/>
  <c r="T85" i="22"/>
  <c r="T74" i="22"/>
  <c r="T111" i="22"/>
  <c r="T133" i="22"/>
  <c r="T63" i="22"/>
  <c r="T100" i="22"/>
  <c r="T122" i="22"/>
  <c r="Q60" i="23"/>
  <c r="L84" i="22"/>
  <c r="L62" i="22"/>
  <c r="L73" i="22"/>
  <c r="L110" i="22"/>
  <c r="L132" i="22"/>
  <c r="L99" i="22"/>
  <c r="L121" i="22"/>
  <c r="N24" i="80"/>
  <c r="N113" i="71"/>
  <c r="N82" i="72"/>
  <c r="N95" i="73"/>
  <c r="J95" i="73"/>
  <c r="J82" i="72"/>
  <c r="J24" i="80"/>
  <c r="J113" i="71"/>
  <c r="M85" i="22"/>
  <c r="M100" i="22"/>
  <c r="M111" i="22"/>
  <c r="M133" i="22"/>
  <c r="M122" i="22"/>
  <c r="M74" i="22"/>
  <c r="M63" i="22"/>
  <c r="O122" i="22"/>
  <c r="O85" i="22"/>
  <c r="O63" i="22"/>
  <c r="O74" i="22"/>
  <c r="O111" i="22"/>
  <c r="O133" i="22"/>
  <c r="O100" i="22"/>
  <c r="S60" i="23"/>
  <c r="P60" i="23"/>
  <c r="M73" i="22"/>
  <c r="M121" i="22"/>
  <c r="M110" i="22"/>
  <c r="M132" i="22"/>
  <c r="M84" i="22"/>
  <c r="M99" i="22"/>
  <c r="M62" i="22"/>
  <c r="K84" i="22"/>
  <c r="K62" i="22"/>
  <c r="K99" i="22"/>
  <c r="K121" i="22"/>
  <c r="K73" i="22"/>
  <c r="K110" i="22"/>
  <c r="K132" i="22"/>
  <c r="M82" i="72"/>
  <c r="M113" i="71"/>
  <c r="M95" i="73"/>
  <c r="M24" i="80"/>
  <c r="K24" i="80"/>
  <c r="K95" i="73"/>
  <c r="K113" i="71"/>
  <c r="K82" i="72"/>
  <c r="N100" i="22"/>
  <c r="N74" i="22"/>
  <c r="N122" i="22"/>
  <c r="N85" i="22"/>
  <c r="N111" i="22"/>
  <c r="N133" i="22"/>
  <c r="N63" i="22"/>
  <c r="K85" i="22"/>
  <c r="K100" i="22"/>
  <c r="K111" i="22"/>
  <c r="K122" i="22"/>
  <c r="K133" i="22"/>
  <c r="K63" i="22"/>
  <c r="K74" i="22"/>
  <c r="P143" i="31"/>
  <c r="R144" i="31"/>
  <c r="R155" i="31"/>
  <c r="K204" i="80"/>
  <c r="Y88" i="105"/>
  <c r="W89" i="105"/>
  <c r="AB88" i="105"/>
  <c r="Y109" i="105"/>
  <c r="AA294" i="53"/>
  <c r="AA272" i="53"/>
  <c r="AA283" i="53"/>
  <c r="W283" i="53"/>
  <c r="W272" i="53"/>
  <c r="W294" i="53"/>
  <c r="Y296" i="53"/>
  <c r="Y274" i="53"/>
  <c r="Y285" i="53"/>
  <c r="W285" i="53"/>
  <c r="W296" i="53"/>
  <c r="W274" i="53"/>
  <c r="Y288" i="53"/>
  <c r="Y277" i="53"/>
  <c r="Y299" i="53"/>
  <c r="X300" i="53"/>
  <c r="X278" i="53"/>
  <c r="X289" i="53"/>
  <c r="Y300" i="53"/>
  <c r="Y278" i="53"/>
  <c r="Y289" i="53"/>
  <c r="U283" i="53"/>
  <c r="U272" i="53"/>
  <c r="U294" i="53"/>
  <c r="U218" i="53"/>
  <c r="V218" i="53"/>
  <c r="Z286" i="53"/>
  <c r="Z275" i="53"/>
  <c r="Z297" i="53"/>
  <c r="Y302" i="53"/>
  <c r="Y280" i="53"/>
  <c r="Y291" i="53"/>
  <c r="X302" i="53"/>
  <c r="X280" i="53"/>
  <c r="X291" i="53"/>
  <c r="AB298" i="53"/>
  <c r="AB276" i="53"/>
  <c r="AB287" i="53"/>
  <c r="W301" i="53"/>
  <c r="W279" i="53"/>
  <c r="W290" i="53"/>
  <c r="X290" i="53"/>
  <c r="X279" i="53"/>
  <c r="X301" i="53"/>
  <c r="AB55" i="41"/>
  <c r="U199" i="53"/>
  <c r="V199" i="53"/>
  <c r="V189" i="53"/>
  <c r="U189" i="53"/>
  <c r="V183" i="53"/>
  <c r="U183" i="53"/>
  <c r="AB89" i="105"/>
  <c r="X88" i="105"/>
  <c r="Y294" i="53"/>
  <c r="Y272" i="53"/>
  <c r="Y283" i="53"/>
  <c r="AA296" i="53"/>
  <c r="AA274" i="53"/>
  <c r="AA285" i="53"/>
  <c r="Z296" i="53"/>
  <c r="Z274" i="53"/>
  <c r="Z285" i="53"/>
  <c r="W299" i="53"/>
  <c r="W277" i="53"/>
  <c r="W288" i="53"/>
  <c r="Z300" i="53"/>
  <c r="Z278" i="53"/>
  <c r="Z289" i="53"/>
  <c r="W289" i="53"/>
  <c r="W300" i="53"/>
  <c r="W278" i="53"/>
  <c r="AB286" i="53"/>
  <c r="AB275" i="53"/>
  <c r="AB297" i="53"/>
  <c r="X286" i="53"/>
  <c r="X275" i="53"/>
  <c r="X297" i="53"/>
  <c r="V213" i="53"/>
  <c r="V247" i="53" s="1"/>
  <c r="U213" i="53"/>
  <c r="U247" i="53" s="1"/>
  <c r="Z302" i="53"/>
  <c r="Z280" i="53"/>
  <c r="Z291" i="53"/>
  <c r="X298" i="53"/>
  <c r="X276" i="53"/>
  <c r="X287" i="53"/>
  <c r="AB290" i="53"/>
  <c r="AB279" i="53"/>
  <c r="AB301" i="53"/>
  <c r="Y290" i="53"/>
  <c r="Y301" i="53"/>
  <c r="Y279" i="53"/>
  <c r="U214" i="53"/>
  <c r="U258" i="53" s="1"/>
  <c r="V214" i="53"/>
  <c r="V258" i="53" s="1"/>
  <c r="X89" i="105"/>
  <c r="U203" i="53"/>
  <c r="V203" i="53"/>
  <c r="X294" i="53"/>
  <c r="X272" i="53"/>
  <c r="X283" i="53"/>
  <c r="AB296" i="53"/>
  <c r="AB274" i="53"/>
  <c r="AB285" i="53"/>
  <c r="Z288" i="53"/>
  <c r="Z299" i="53"/>
  <c r="Z277" i="53"/>
  <c r="X288" i="53"/>
  <c r="X299" i="53"/>
  <c r="X277" i="53"/>
  <c r="AB300" i="53"/>
  <c r="AB278" i="53"/>
  <c r="AB289" i="53"/>
  <c r="V280" i="53"/>
  <c r="V208" i="53"/>
  <c r="U208" i="53"/>
  <c r="AA286" i="53"/>
  <c r="AA297" i="53"/>
  <c r="AA275" i="53"/>
  <c r="Y286" i="53"/>
  <c r="Y297" i="53"/>
  <c r="Y275" i="53"/>
  <c r="AB302" i="53"/>
  <c r="AB280" i="53"/>
  <c r="AB291" i="53"/>
  <c r="Y298" i="53"/>
  <c r="Y276" i="53"/>
  <c r="Y287" i="53"/>
  <c r="Z298" i="53"/>
  <c r="Z276" i="53"/>
  <c r="Z287" i="53"/>
  <c r="Z290" i="53"/>
  <c r="Z279" i="53"/>
  <c r="Z301" i="53"/>
  <c r="Y284" i="53"/>
  <c r="Y273" i="53"/>
  <c r="Y295" i="53"/>
  <c r="W295" i="53"/>
  <c r="W273" i="53"/>
  <c r="W284" i="53"/>
  <c r="X284" i="53"/>
  <c r="X295" i="53"/>
  <c r="X273" i="53"/>
  <c r="V88" i="105"/>
  <c r="V194" i="53"/>
  <c r="U194" i="53"/>
  <c r="AB294" i="53"/>
  <c r="AB272" i="53"/>
  <c r="AB283" i="53"/>
  <c r="Z294" i="53"/>
  <c r="Z272" i="53"/>
  <c r="Z283" i="53"/>
  <c r="X296" i="53"/>
  <c r="X274" i="53"/>
  <c r="X285" i="53"/>
  <c r="AA288" i="53"/>
  <c r="AA277" i="53"/>
  <c r="AA299" i="53"/>
  <c r="AB288" i="53"/>
  <c r="AB299" i="53"/>
  <c r="AB277" i="53"/>
  <c r="AA300" i="53"/>
  <c r="AA278" i="53"/>
  <c r="AA289" i="53"/>
  <c r="V294" i="53"/>
  <c r="V272" i="53"/>
  <c r="V283" i="53"/>
  <c r="U287" i="53"/>
  <c r="W297" i="53"/>
  <c r="W275" i="53"/>
  <c r="W286" i="53"/>
  <c r="AA302" i="53"/>
  <c r="AA280" i="53"/>
  <c r="AA291" i="53"/>
  <c r="W291" i="53"/>
  <c r="W280" i="53"/>
  <c r="W302" i="53"/>
  <c r="AA298" i="53"/>
  <c r="AA276" i="53"/>
  <c r="AA287" i="53"/>
  <c r="W287" i="53"/>
  <c r="W276" i="53"/>
  <c r="W298" i="53"/>
  <c r="AA290" i="53"/>
  <c r="AA301" i="53"/>
  <c r="AA279" i="53"/>
  <c r="AA284" i="53"/>
  <c r="AA273" i="53"/>
  <c r="AA295" i="53"/>
  <c r="Z284" i="53"/>
  <c r="Z295" i="53"/>
  <c r="Z273" i="53"/>
  <c r="AB284" i="53"/>
  <c r="AB295" i="53"/>
  <c r="AB273" i="53"/>
  <c r="P151" i="31"/>
  <c r="H293" i="73"/>
  <c r="Q144" i="31"/>
  <c r="Q150" i="31"/>
  <c r="Q139" i="31"/>
  <c r="Q143" i="31"/>
  <c r="L58" i="23"/>
  <c r="P58" i="23"/>
  <c r="N58" i="23"/>
  <c r="O58" i="23"/>
  <c r="R58" i="23"/>
  <c r="M58" i="23"/>
  <c r="S58" i="23"/>
  <c r="Q58" i="23"/>
  <c r="P141" i="31"/>
  <c r="P150" i="31"/>
  <c r="R140" i="31"/>
  <c r="P140" i="31"/>
  <c r="R151" i="31"/>
  <c r="Q140" i="31"/>
  <c r="L64" i="23"/>
  <c r="Q64" i="23"/>
  <c r="P64" i="23"/>
  <c r="S64" i="23"/>
  <c r="N64" i="23"/>
  <c r="M64" i="23"/>
  <c r="R64" i="23"/>
  <c r="O64" i="23"/>
  <c r="N68" i="23"/>
  <c r="O68" i="23"/>
  <c r="R68" i="23"/>
  <c r="M68" i="23"/>
  <c r="Q68" i="23"/>
  <c r="S68" i="23"/>
  <c r="P68" i="23"/>
  <c r="R152" i="31"/>
  <c r="P152" i="31"/>
  <c r="S152" i="31"/>
  <c r="Q149" i="31"/>
  <c r="P149" i="31"/>
  <c r="Q153" i="31"/>
  <c r="P153" i="31"/>
  <c r="L57" i="23"/>
  <c r="N57" i="23"/>
  <c r="S57" i="23"/>
  <c r="O57" i="23"/>
  <c r="R57" i="23"/>
  <c r="M57" i="23"/>
  <c r="Q57" i="23"/>
  <c r="P57" i="23"/>
  <c r="P139" i="31"/>
  <c r="Q151" i="31"/>
  <c r="H58" i="70" a="1"/>
  <c r="H58" i="70" s="1"/>
  <c r="Q156" i="31"/>
  <c r="S156" i="31"/>
  <c r="R156" i="31"/>
  <c r="P142" i="31"/>
  <c r="L65" i="23"/>
  <c r="S65" i="23"/>
  <c r="Q65" i="23"/>
  <c r="P65" i="23"/>
  <c r="N65" i="23"/>
  <c r="O65" i="23"/>
  <c r="R65" i="23"/>
  <c r="M65" i="23"/>
  <c r="Q138" i="31"/>
  <c r="P138" i="31"/>
  <c r="Q141" i="31"/>
  <c r="R141" i="31"/>
  <c r="Q155" i="31"/>
  <c r="P155" i="31"/>
  <c r="L56" i="23"/>
  <c r="S56" i="23"/>
  <c r="O56" i="23"/>
  <c r="R56" i="23"/>
  <c r="M56" i="23"/>
  <c r="Q56" i="23"/>
  <c r="P56" i="23"/>
  <c r="N56" i="23"/>
  <c r="R54" i="23"/>
  <c r="M54" i="23"/>
  <c r="Q54" i="23"/>
  <c r="S54" i="23"/>
  <c r="P54" i="23"/>
  <c r="L54" i="23"/>
  <c r="N54" i="23"/>
  <c r="O54" i="23"/>
  <c r="L70" i="23"/>
  <c r="S70" i="23"/>
  <c r="Q70" i="23"/>
  <c r="P70" i="23"/>
  <c r="O70" i="23"/>
  <c r="R70" i="23"/>
  <c r="M70" i="23"/>
  <c r="N70" i="23"/>
  <c r="L66" i="23"/>
  <c r="S66" i="23"/>
  <c r="Q66" i="23"/>
  <c r="P66" i="23"/>
  <c r="O66" i="23"/>
  <c r="R66" i="23"/>
  <c r="M66" i="23"/>
  <c r="N66" i="23"/>
  <c r="R150" i="31"/>
  <c r="Q154" i="31"/>
  <c r="R154" i="31"/>
  <c r="Q148" i="31"/>
  <c r="P148" i="31"/>
  <c r="H73" i="105"/>
  <c r="H115" i="105" s="1"/>
  <c r="Q152" i="31"/>
  <c r="L68" i="23"/>
  <c r="L72" i="23"/>
  <c r="Q72" i="23"/>
  <c r="P72" i="23"/>
  <c r="N72" i="23"/>
  <c r="R72" i="23"/>
  <c r="O72" i="23"/>
  <c r="S72" i="23"/>
  <c r="M72" i="23"/>
  <c r="L71" i="23"/>
  <c r="S71" i="23"/>
  <c r="O71" i="23"/>
  <c r="R71" i="23"/>
  <c r="M71" i="23"/>
  <c r="Q71" i="23"/>
  <c r="P71" i="23"/>
  <c r="N71" i="23"/>
  <c r="P144" i="31"/>
  <c r="L69" i="23"/>
  <c r="P69" i="23"/>
  <c r="S69" i="23"/>
  <c r="N69" i="23"/>
  <c r="O69" i="23"/>
  <c r="R69" i="23"/>
  <c r="M69" i="23"/>
  <c r="Q69" i="23"/>
  <c r="L67" i="23"/>
  <c r="S67" i="23"/>
  <c r="O67" i="23"/>
  <c r="R67" i="23"/>
  <c r="M67" i="23"/>
  <c r="Q67" i="23"/>
  <c r="P67" i="23"/>
  <c r="N67" i="23"/>
  <c r="L59" i="23"/>
  <c r="Q59" i="23"/>
  <c r="P59" i="23"/>
  <c r="O59" i="23"/>
  <c r="R59" i="23"/>
  <c r="M59" i="23"/>
  <c r="S59" i="23"/>
  <c r="N59" i="23"/>
  <c r="L55" i="23"/>
  <c r="S55" i="23"/>
  <c r="Q55" i="23"/>
  <c r="P55" i="23"/>
  <c r="O55" i="23"/>
  <c r="R55" i="23"/>
  <c r="M55" i="23"/>
  <c r="N55" i="23"/>
  <c r="P154" i="31"/>
  <c r="Q142" i="31"/>
  <c r="R142" i="31"/>
  <c r="K152" i="31" l="1"/>
  <c r="Q56" i="65"/>
  <c r="R87" i="22"/>
  <c r="R66" i="65"/>
  <c r="R135" i="22"/>
  <c r="R70" i="65"/>
  <c r="Q70" i="65"/>
  <c r="Q135" i="22"/>
  <c r="Q87" i="22"/>
  <c r="Q66" i="65"/>
  <c r="R56" i="65"/>
  <c r="R75" i="22"/>
  <c r="R57" i="65"/>
  <c r="R86" i="22"/>
  <c r="S124" i="22"/>
  <c r="S69" i="65"/>
  <c r="S113" i="22"/>
  <c r="S68" i="65"/>
  <c r="S134" i="22"/>
  <c r="S61" i="65"/>
  <c r="S55" i="65"/>
  <c r="S64" i="22"/>
  <c r="Q60" i="65"/>
  <c r="Q61" i="65"/>
  <c r="R76" i="22"/>
  <c r="R65" i="65"/>
  <c r="R65" i="22"/>
  <c r="R64" i="65"/>
  <c r="Q65" i="22"/>
  <c r="Q64" i="65"/>
  <c r="Q69" i="65"/>
  <c r="Q124" i="22"/>
  <c r="R101" i="22"/>
  <c r="R58" i="65"/>
  <c r="R64" i="22"/>
  <c r="R66" i="22" s="1"/>
  <c r="R55" i="65"/>
  <c r="S66" i="65"/>
  <c r="S87" i="22"/>
  <c r="S102" i="22"/>
  <c r="S67" i="65"/>
  <c r="S56" i="65"/>
  <c r="S75" i="22"/>
  <c r="Q57" i="65"/>
  <c r="Q55" i="65"/>
  <c r="R113" i="22"/>
  <c r="R68" i="65"/>
  <c r="R124" i="22"/>
  <c r="R69" i="65"/>
  <c r="Q76" i="22"/>
  <c r="Q65" i="65"/>
  <c r="Q68" i="65"/>
  <c r="Q113" i="22"/>
  <c r="R112" i="22"/>
  <c r="R59" i="65"/>
  <c r="R123" i="22"/>
  <c r="R125" i="22" s="1"/>
  <c r="R60" i="65"/>
  <c r="S135" i="22"/>
  <c r="S70" i="65"/>
  <c r="S101" i="22"/>
  <c r="S103" i="22" s="1"/>
  <c r="S58" i="65"/>
  <c r="S57" i="65"/>
  <c r="S86" i="22"/>
  <c r="Q59" i="65"/>
  <c r="Q58" i="65"/>
  <c r="R102" i="22"/>
  <c r="R67" i="65"/>
  <c r="Q102" i="22"/>
  <c r="Q67" i="65"/>
  <c r="R61" i="65"/>
  <c r="R134" i="22"/>
  <c r="S76" i="22"/>
  <c r="S65" i="65"/>
  <c r="S65" i="22"/>
  <c r="S64" i="65"/>
  <c r="S60" i="65"/>
  <c r="S123" i="22"/>
  <c r="S112" i="22"/>
  <c r="S114" i="22" s="1"/>
  <c r="S59" i="65"/>
  <c r="J109" i="72" a="1"/>
  <c r="J107" i="73" a="1"/>
  <c r="J69" i="83" a="1"/>
  <c r="J143" i="31"/>
  <c r="K149" i="31"/>
  <c r="H37" i="73"/>
  <c r="H44" i="73"/>
  <c r="H40" i="73"/>
  <c r="H42" i="73"/>
  <c r="H43" i="73"/>
  <c r="H38" i="73"/>
  <c r="H41" i="73"/>
  <c r="H39" i="73"/>
  <c r="H45" i="73"/>
  <c r="H46" i="73"/>
  <c r="H43" i="83"/>
  <c r="H50" i="83"/>
  <c r="H46" i="83"/>
  <c r="H45" i="83"/>
  <c r="H51" i="83"/>
  <c r="H52" i="83"/>
  <c r="H47" i="83"/>
  <c r="H49" i="83"/>
  <c r="H48" i="83"/>
  <c r="H44" i="83"/>
  <c r="M150" i="31"/>
  <c r="K150" i="31"/>
  <c r="N151" i="31"/>
  <c r="M138" i="31"/>
  <c r="L156" i="31"/>
  <c r="M152" i="31"/>
  <c r="K144" i="31"/>
  <c r="J139" i="31"/>
  <c r="L140" i="31"/>
  <c r="K154" i="31"/>
  <c r="M154" i="31"/>
  <c r="J138" i="31"/>
  <c r="J140" i="31"/>
  <c r="L154" i="31"/>
  <c r="K138" i="31"/>
  <c r="J154" i="31"/>
  <c r="J156" i="31"/>
  <c r="N154" i="31"/>
  <c r="K32" i="81"/>
  <c r="K33" i="81" s="1"/>
  <c r="S40" i="81" s="1"/>
  <c r="S48" i="81" s="1"/>
  <c r="S129" i="81" s="1"/>
  <c r="N147" i="31"/>
  <c r="J151" i="31"/>
  <c r="N146" i="31"/>
  <c r="M143" i="31"/>
  <c r="N142" i="31"/>
  <c r="N145" i="31"/>
  <c r="K142" i="31"/>
  <c r="M155" i="31"/>
  <c r="L151" i="31"/>
  <c r="K151" i="31"/>
  <c r="N152" i="31"/>
  <c r="M146" i="31"/>
  <c r="L146" i="31"/>
  <c r="J146" i="31"/>
  <c r="K146" i="31"/>
  <c r="J147" i="31"/>
  <c r="K147" i="31"/>
  <c r="L147" i="31"/>
  <c r="M147" i="31"/>
  <c r="M151" i="31"/>
  <c r="L145" i="31"/>
  <c r="M145" i="31"/>
  <c r="K145" i="31"/>
  <c r="J145" i="31"/>
  <c r="O151" i="31"/>
  <c r="N153" i="31"/>
  <c r="O144" i="31"/>
  <c r="N144" i="31"/>
  <c r="J141" i="31"/>
  <c r="L149" i="31"/>
  <c r="N143" i="31"/>
  <c r="L143" i="31"/>
  <c r="M142" i="31"/>
  <c r="J144" i="31"/>
  <c r="N140" i="31"/>
  <c r="N138" i="31"/>
  <c r="M141" i="31"/>
  <c r="J142" i="31"/>
  <c r="M144" i="31"/>
  <c r="M148" i="31"/>
  <c r="N141" i="31"/>
  <c r="K141" i="31"/>
  <c r="M140" i="31"/>
  <c r="L141" i="31"/>
  <c r="L144" i="31"/>
  <c r="K140" i="31"/>
  <c r="O142" i="31"/>
  <c r="L142" i="31"/>
  <c r="K155" i="31"/>
  <c r="L138" i="31"/>
  <c r="L155" i="31"/>
  <c r="K143" i="31"/>
  <c r="O153" i="31"/>
  <c r="L153" i="31"/>
  <c r="O150" i="31"/>
  <c r="N150" i="31"/>
  <c r="J155" i="31"/>
  <c r="O155" i="31"/>
  <c r="L150" i="31"/>
  <c r="N155" i="31"/>
  <c r="K153" i="31"/>
  <c r="M153" i="31"/>
  <c r="J153" i="31"/>
  <c r="N139" i="31"/>
  <c r="O156" i="31"/>
  <c r="N156" i="31"/>
  <c r="O139" i="31"/>
  <c r="N149" i="31"/>
  <c r="M149" i="31"/>
  <c r="K156" i="31"/>
  <c r="J149" i="31"/>
  <c r="M156" i="31"/>
  <c r="L139" i="31"/>
  <c r="O149" i="31"/>
  <c r="M139" i="31"/>
  <c r="K139" i="31"/>
  <c r="N148" i="31"/>
  <c r="L152" i="31"/>
  <c r="O148" i="31"/>
  <c r="J148" i="31"/>
  <c r="J152" i="31"/>
  <c r="O152" i="31"/>
  <c r="L148" i="31"/>
  <c r="K148" i="31"/>
  <c r="H43" i="41"/>
  <c r="AA108" i="105"/>
  <c r="W108" i="105"/>
  <c r="AA109" i="105"/>
  <c r="W98" i="105"/>
  <c r="J36" i="55"/>
  <c r="U275" i="53"/>
  <c r="U254" i="53"/>
  <c r="U297" i="53" s="1"/>
  <c r="U253" i="53"/>
  <c r="U296" i="53" s="1"/>
  <c r="V286" i="53"/>
  <c r="V254" i="53"/>
  <c r="V297" i="53" s="1"/>
  <c r="V299" i="53"/>
  <c r="V245" i="53"/>
  <c r="V288" i="53" s="1"/>
  <c r="V285" i="53"/>
  <c r="V253" i="53"/>
  <c r="V296" i="53" s="1"/>
  <c r="V248" i="53"/>
  <c r="V291" i="53" s="1"/>
  <c r="U300" i="53"/>
  <c r="U246" i="53"/>
  <c r="U289" i="53" s="1"/>
  <c r="U245" i="53"/>
  <c r="U288" i="53" s="1"/>
  <c r="U241" i="53"/>
  <c r="U284" i="53" s="1"/>
  <c r="V255" i="53"/>
  <c r="V298" i="53" s="1"/>
  <c r="U248" i="53"/>
  <c r="U291" i="53" s="1"/>
  <c r="V300" i="53"/>
  <c r="V246" i="53"/>
  <c r="V289" i="53" s="1"/>
  <c r="V273" i="53"/>
  <c r="V241" i="53"/>
  <c r="V284" i="53" s="1"/>
  <c r="U255" i="53"/>
  <c r="U298" i="53" s="1"/>
  <c r="U280" i="53"/>
  <c r="V278" i="53"/>
  <c r="V274" i="53"/>
  <c r="U273" i="53"/>
  <c r="S55" i="81"/>
  <c r="S56" i="81" s="1"/>
  <c r="S114" i="81" s="1"/>
  <c r="V302" i="53"/>
  <c r="U276" i="53"/>
  <c r="U302" i="53"/>
  <c r="U285" i="53"/>
  <c r="U274" i="53"/>
  <c r="L21" i="31"/>
  <c r="L23" i="31" s="1"/>
  <c r="M20" i="31"/>
  <c r="N40" i="81"/>
  <c r="N48" i="81" s="1"/>
  <c r="K65" i="22"/>
  <c r="K64" i="65"/>
  <c r="K67" i="65"/>
  <c r="K102" i="22"/>
  <c r="N68" i="65"/>
  <c r="N113" i="22"/>
  <c r="N67" i="65"/>
  <c r="N102" i="22"/>
  <c r="K60" i="65"/>
  <c r="K123" i="22"/>
  <c r="M64" i="22"/>
  <c r="M55" i="65"/>
  <c r="M59" i="65"/>
  <c r="M112" i="22"/>
  <c r="O68" i="65"/>
  <c r="O113" i="22"/>
  <c r="O69" i="65"/>
  <c r="O124" i="22"/>
  <c r="M70" i="65"/>
  <c r="M135" i="22"/>
  <c r="L60" i="65"/>
  <c r="L123" i="22"/>
  <c r="L56" i="65"/>
  <c r="L75" i="22"/>
  <c r="T124" i="22"/>
  <c r="T69" i="65"/>
  <c r="T68" i="65"/>
  <c r="T113" i="22"/>
  <c r="L65" i="22"/>
  <c r="L64" i="65"/>
  <c r="L67" i="65"/>
  <c r="L102" i="22"/>
  <c r="P66" i="65"/>
  <c r="P87" i="22"/>
  <c r="P65" i="65"/>
  <c r="P76" i="22"/>
  <c r="P64" i="22"/>
  <c r="P55" i="65"/>
  <c r="O60" i="65"/>
  <c r="O123" i="22"/>
  <c r="O59" i="65"/>
  <c r="O112" i="22"/>
  <c r="J57" i="65"/>
  <c r="J86" i="22"/>
  <c r="J59" i="65"/>
  <c r="J112" i="22"/>
  <c r="J69" i="65"/>
  <c r="J124" i="22"/>
  <c r="J67" i="65"/>
  <c r="J102" i="22"/>
  <c r="T61" i="65"/>
  <c r="T134" i="22"/>
  <c r="T56" i="65"/>
  <c r="T75" i="22"/>
  <c r="N61" i="65"/>
  <c r="K135" i="22"/>
  <c r="K70" i="65"/>
  <c r="K66" i="65"/>
  <c r="K87" i="22"/>
  <c r="N66" i="65"/>
  <c r="N87" i="22"/>
  <c r="K61" i="65"/>
  <c r="K134" i="22"/>
  <c r="K58" i="65"/>
  <c r="K101" i="22"/>
  <c r="M58" i="65"/>
  <c r="M101" i="22"/>
  <c r="M60" i="65"/>
  <c r="M123" i="22"/>
  <c r="O65" i="65"/>
  <c r="O76" i="22"/>
  <c r="M65" i="22"/>
  <c r="M64" i="65"/>
  <c r="M68" i="65"/>
  <c r="M113" i="22"/>
  <c r="L58" i="65"/>
  <c r="L101" i="22"/>
  <c r="L64" i="22"/>
  <c r="L55" i="65"/>
  <c r="T102" i="22"/>
  <c r="T67" i="65"/>
  <c r="T65" i="65"/>
  <c r="T76" i="22"/>
  <c r="L70" i="65"/>
  <c r="L135" i="22"/>
  <c r="L66" i="65"/>
  <c r="L87" i="22"/>
  <c r="P70" i="65"/>
  <c r="P135" i="22"/>
  <c r="P134" i="22"/>
  <c r="P61" i="65"/>
  <c r="P112" i="22"/>
  <c r="P59" i="65"/>
  <c r="O55" i="65"/>
  <c r="O64" i="22"/>
  <c r="O58" i="65"/>
  <c r="O101" i="22"/>
  <c r="J61" i="65"/>
  <c r="J134" i="22"/>
  <c r="J56" i="65"/>
  <c r="J75" i="22"/>
  <c r="J66" i="65"/>
  <c r="J87" i="22"/>
  <c r="J65" i="65"/>
  <c r="J76" i="22"/>
  <c r="T60" i="65"/>
  <c r="T123" i="22"/>
  <c r="N55" i="65"/>
  <c r="N60" i="65"/>
  <c r="V295" i="53"/>
  <c r="U295" i="53"/>
  <c r="K69" i="65"/>
  <c r="K124" i="22"/>
  <c r="N65" i="22"/>
  <c r="N64" i="65"/>
  <c r="N69" i="65"/>
  <c r="N124" i="22"/>
  <c r="K59" i="65"/>
  <c r="K112" i="22"/>
  <c r="K64" i="22"/>
  <c r="K55" i="65"/>
  <c r="M57" i="65"/>
  <c r="M86" i="22"/>
  <c r="M56" i="65"/>
  <c r="M75" i="22"/>
  <c r="O67" i="65"/>
  <c r="O102" i="22"/>
  <c r="O65" i="22"/>
  <c r="O64" i="65"/>
  <c r="M65" i="65"/>
  <c r="M76" i="22"/>
  <c r="M67" i="65"/>
  <c r="M102" i="22"/>
  <c r="L61" i="65"/>
  <c r="L134" i="22"/>
  <c r="L57" i="65"/>
  <c r="L86" i="22"/>
  <c r="T65" i="22"/>
  <c r="T64" i="65"/>
  <c r="T87" i="22"/>
  <c r="T66" i="65"/>
  <c r="L69" i="65"/>
  <c r="L124" i="22"/>
  <c r="P102" i="22"/>
  <c r="P67" i="65"/>
  <c r="P69" i="65"/>
  <c r="P124" i="22"/>
  <c r="P75" i="22"/>
  <c r="P56" i="65"/>
  <c r="P60" i="65"/>
  <c r="P123" i="22"/>
  <c r="O57" i="65"/>
  <c r="O86" i="22"/>
  <c r="O56" i="65"/>
  <c r="O75" i="22"/>
  <c r="J58" i="65"/>
  <c r="J101" i="22"/>
  <c r="J70" i="65"/>
  <c r="J135" i="22"/>
  <c r="T57" i="65"/>
  <c r="T86" i="22"/>
  <c r="T59" i="65"/>
  <c r="T112" i="22"/>
  <c r="N56" i="65"/>
  <c r="N59" i="65"/>
  <c r="U286" i="53"/>
  <c r="K65" i="65"/>
  <c r="K76" i="22"/>
  <c r="K113" i="22"/>
  <c r="K68" i="65"/>
  <c r="N70" i="65"/>
  <c r="N135" i="22"/>
  <c r="N65" i="65"/>
  <c r="N76" i="22"/>
  <c r="K56" i="65"/>
  <c r="K75" i="22"/>
  <c r="K77" i="22" s="1"/>
  <c r="K57" i="65"/>
  <c r="K86" i="22"/>
  <c r="M61" i="65"/>
  <c r="M134" i="22"/>
  <c r="O70" i="65"/>
  <c r="O135" i="22"/>
  <c r="O66" i="65"/>
  <c r="O87" i="22"/>
  <c r="M69" i="65"/>
  <c r="M124" i="22"/>
  <c r="M66" i="65"/>
  <c r="M87" i="22"/>
  <c r="L59" i="65"/>
  <c r="L112" i="22"/>
  <c r="T70" i="65"/>
  <c r="T135" i="22"/>
  <c r="L65" i="65"/>
  <c r="L76" i="22"/>
  <c r="L113" i="22"/>
  <c r="L68" i="65"/>
  <c r="P65" i="22"/>
  <c r="P64" i="65"/>
  <c r="P68" i="65"/>
  <c r="P113" i="22"/>
  <c r="P86" i="22"/>
  <c r="P57" i="65"/>
  <c r="P58" i="65"/>
  <c r="P101" i="22"/>
  <c r="O61" i="65"/>
  <c r="O134" i="22"/>
  <c r="O136" i="22" s="1"/>
  <c r="O35" i="41" s="1"/>
  <c r="O156" i="41" s="1"/>
  <c r="J60" i="65"/>
  <c r="J123" i="22"/>
  <c r="J55" i="65"/>
  <c r="J64" i="22"/>
  <c r="J68" i="65"/>
  <c r="J113" i="22"/>
  <c r="J65" i="22"/>
  <c r="J64" i="65"/>
  <c r="T64" i="22"/>
  <c r="T55" i="65"/>
  <c r="T58" i="65"/>
  <c r="T101" i="22"/>
  <c r="N58" i="65"/>
  <c r="N57" i="65"/>
  <c r="U290" i="53"/>
  <c r="V290" i="53"/>
  <c r="Y56" i="41"/>
  <c r="AB56" i="41"/>
  <c r="U299" i="53"/>
  <c r="V279" i="53"/>
  <c r="X55" i="41"/>
  <c r="W56" i="41"/>
  <c r="AA56" i="41"/>
  <c r="U278" i="53"/>
  <c r="U301" i="53"/>
  <c r="W109" i="105"/>
  <c r="W55" i="41"/>
  <c r="AA55" i="41"/>
  <c r="V301" i="53"/>
  <c r="V287" i="53"/>
  <c r="U279" i="53"/>
  <c r="W99" i="105"/>
  <c r="Y108" i="105"/>
  <c r="X56" i="41"/>
  <c r="Z55" i="41"/>
  <c r="V275" i="53"/>
  <c r="U277" i="53"/>
  <c r="V277" i="53"/>
  <c r="V276" i="53"/>
  <c r="Z56" i="41"/>
  <c r="Y55" i="41"/>
  <c r="J34" i="55"/>
  <c r="H76" i="23" a="1"/>
  <c r="H76" i="23" s="1"/>
  <c r="A4" i="23" s="1"/>
  <c r="A4" i="89"/>
  <c r="J37" i="55"/>
  <c r="A4" i="70"/>
  <c r="J38" i="55"/>
  <c r="M40" i="81" l="1"/>
  <c r="M48" i="81" s="1"/>
  <c r="M55" i="81" s="1"/>
  <c r="M56" i="81" s="1"/>
  <c r="M114" i="81" s="1"/>
  <c r="K40" i="81"/>
  <c r="K48" i="81" s="1"/>
  <c r="R114" i="22"/>
  <c r="R33" i="41" s="1"/>
  <c r="R154" i="41" s="1"/>
  <c r="BD122" i="41"/>
  <c r="BE122" i="41"/>
  <c r="BC122" i="41"/>
  <c r="S125" i="22"/>
  <c r="S189" i="80" s="1"/>
  <c r="AL122" i="41"/>
  <c r="AJ122" i="41"/>
  <c r="AK122" i="41"/>
  <c r="S88" i="22"/>
  <c r="S33" i="53" s="1"/>
  <c r="R88" i="22"/>
  <c r="R58" i="80" s="1"/>
  <c r="Q122" i="41"/>
  <c r="R122" i="41"/>
  <c r="S122" i="41"/>
  <c r="S77" i="22"/>
  <c r="R77" i="22"/>
  <c r="S33" i="41"/>
  <c r="S154" i="41" s="1"/>
  <c r="S188" i="80"/>
  <c r="S16" i="111"/>
  <c r="S18" i="74"/>
  <c r="S32" i="41"/>
  <c r="S153" i="41" s="1"/>
  <c r="R189" i="80"/>
  <c r="R34" i="41"/>
  <c r="R155" i="41" s="1"/>
  <c r="R103" i="22"/>
  <c r="S136" i="22"/>
  <c r="S35" i="41" s="1"/>
  <c r="S156" i="41" s="1"/>
  <c r="S66" i="22"/>
  <c r="R29" i="41"/>
  <c r="R103" i="41" s="1"/>
  <c r="R56" i="80"/>
  <c r="R31" i="53"/>
  <c r="R136" i="22"/>
  <c r="R35" i="41" s="1"/>
  <c r="R156" i="41" s="1"/>
  <c r="J69" i="83"/>
  <c r="Q69" i="83"/>
  <c r="N70" i="83"/>
  <c r="K71" i="83"/>
  <c r="AA71" i="83"/>
  <c r="X72" i="83"/>
  <c r="U73" i="83"/>
  <c r="R74" i="83"/>
  <c r="O75" i="83"/>
  <c r="L76" i="83"/>
  <c r="AB76" i="83"/>
  <c r="Y69" i="83"/>
  <c r="V70" i="83"/>
  <c r="S71" i="83"/>
  <c r="P72" i="83"/>
  <c r="M73" i="83"/>
  <c r="J74" i="83"/>
  <c r="Z74" i="83"/>
  <c r="W75" i="83"/>
  <c r="T76" i="83"/>
  <c r="U69" i="83"/>
  <c r="R70" i="83"/>
  <c r="O71" i="83"/>
  <c r="L72" i="83"/>
  <c r="AB72" i="83"/>
  <c r="Y73" i="83"/>
  <c r="V74" i="83"/>
  <c r="S75" i="83"/>
  <c r="P76" i="83"/>
  <c r="M69" i="83"/>
  <c r="J70" i="83"/>
  <c r="Z70" i="83"/>
  <c r="W71" i="83"/>
  <c r="T72" i="83"/>
  <c r="Q73" i="83"/>
  <c r="N74" i="83"/>
  <c r="K75" i="83"/>
  <c r="AA75" i="83"/>
  <c r="X76" i="83"/>
  <c r="S76" i="83"/>
  <c r="V75" i="83"/>
  <c r="Y74" i="83"/>
  <c r="AB73" i="83"/>
  <c r="L73" i="83"/>
  <c r="O72" i="83"/>
  <c r="R71" i="83"/>
  <c r="U70" i="83"/>
  <c r="X69" i="83"/>
  <c r="Z76" i="83"/>
  <c r="J76" i="83"/>
  <c r="M75" i="83"/>
  <c r="P74" i="83"/>
  <c r="S73" i="83"/>
  <c r="V72" i="83"/>
  <c r="Y71" i="83"/>
  <c r="AB70" i="83"/>
  <c r="L70" i="83"/>
  <c r="O69" i="83"/>
  <c r="Q76" i="83"/>
  <c r="T75" i="83"/>
  <c r="W74" i="83"/>
  <c r="Z73" i="83"/>
  <c r="J73" i="83"/>
  <c r="M72" i="83"/>
  <c r="P71" i="83"/>
  <c r="S70" i="83"/>
  <c r="V69" i="83"/>
  <c r="O76" i="83"/>
  <c r="R75" i="83"/>
  <c r="U74" i="83"/>
  <c r="X73" i="83"/>
  <c r="AA72" i="83"/>
  <c r="K72" i="83"/>
  <c r="N71" i="83"/>
  <c r="Q70" i="83"/>
  <c r="T69" i="83"/>
  <c r="V76" i="83"/>
  <c r="Y75" i="83"/>
  <c r="AB74" i="83"/>
  <c r="L74" i="83"/>
  <c r="O73" i="83"/>
  <c r="R72" i="83"/>
  <c r="U71" i="83"/>
  <c r="X70" i="83"/>
  <c r="AA69" i="83"/>
  <c r="K69" i="83"/>
  <c r="K76" i="83"/>
  <c r="Q74" i="83"/>
  <c r="W72" i="83"/>
  <c r="J71" i="83"/>
  <c r="P69" i="83"/>
  <c r="U75" i="83"/>
  <c r="AA73" i="83"/>
  <c r="N72" i="83"/>
  <c r="T70" i="83"/>
  <c r="Y76" i="83"/>
  <c r="X75" i="83"/>
  <c r="S74" i="83"/>
  <c r="R73" i="83"/>
  <c r="Q72" i="83"/>
  <c r="L71" i="83"/>
  <c r="K70" i="83"/>
  <c r="J75" i="83"/>
  <c r="N76" i="83"/>
  <c r="M71" i="83"/>
  <c r="AA74" i="83"/>
  <c r="T71" i="83"/>
  <c r="N69" i="83"/>
  <c r="Z75" i="83"/>
  <c r="M74" i="83"/>
  <c r="S72" i="83"/>
  <c r="Y70" i="83"/>
  <c r="L69" i="83"/>
  <c r="Q75" i="83"/>
  <c r="W73" i="83"/>
  <c r="J72" i="83"/>
  <c r="P70" i="83"/>
  <c r="U76" i="83"/>
  <c r="P75" i="83"/>
  <c r="O74" i="83"/>
  <c r="N73" i="83"/>
  <c r="AB71" i="83"/>
  <c r="AA70" i="83"/>
  <c r="Z69" i="83"/>
  <c r="P73" i="83"/>
  <c r="AB69" i="83"/>
  <c r="Z72" i="83"/>
  <c r="AB75" i="83"/>
  <c r="V73" i="83"/>
  <c r="O70" i="83"/>
  <c r="AA76" i="83"/>
  <c r="N75" i="83"/>
  <c r="T73" i="83"/>
  <c r="Z71" i="83"/>
  <c r="M70" i="83"/>
  <c r="R76" i="83"/>
  <c r="X74" i="83"/>
  <c r="K73" i="83"/>
  <c r="Q71" i="83"/>
  <c r="W69" i="83"/>
  <c r="M76" i="83"/>
  <c r="L75" i="83"/>
  <c r="K74" i="83"/>
  <c r="Y72" i="83"/>
  <c r="X71" i="83"/>
  <c r="W70" i="83"/>
  <c r="R69" i="83"/>
  <c r="W76" i="83"/>
  <c r="V71" i="83"/>
  <c r="T74" i="83"/>
  <c r="S69" i="83"/>
  <c r="U72" i="83"/>
  <c r="J107" i="73"/>
  <c r="M107" i="73"/>
  <c r="J108" i="73"/>
  <c r="Z108" i="73"/>
  <c r="W109" i="73"/>
  <c r="T110" i="73"/>
  <c r="Q111" i="73"/>
  <c r="N112" i="73"/>
  <c r="K113" i="73"/>
  <c r="AA113" i="73"/>
  <c r="X114" i="73"/>
  <c r="U107" i="73"/>
  <c r="O109" i="73"/>
  <c r="L110" i="73"/>
  <c r="AB110" i="73"/>
  <c r="V112" i="73"/>
  <c r="S113" i="73"/>
  <c r="Q107" i="73"/>
  <c r="N108" i="73"/>
  <c r="K109" i="73"/>
  <c r="AA109" i="73"/>
  <c r="X110" i="73"/>
  <c r="U111" i="73"/>
  <c r="R112" i="73"/>
  <c r="O113" i="73"/>
  <c r="L114" i="73"/>
  <c r="AB114" i="73"/>
  <c r="R108" i="73"/>
  <c r="Y111" i="73"/>
  <c r="P114" i="73"/>
  <c r="Y107" i="73"/>
  <c r="V108" i="73"/>
  <c r="S109" i="73"/>
  <c r="P110" i="73"/>
  <c r="M111" i="73"/>
  <c r="J112" i="73"/>
  <c r="Z112" i="73"/>
  <c r="W113" i="73"/>
  <c r="T114" i="73"/>
  <c r="S114" i="73"/>
  <c r="V113" i="73"/>
  <c r="Y112" i="73"/>
  <c r="AB111" i="73"/>
  <c r="L111" i="73"/>
  <c r="O110" i="73"/>
  <c r="R109" i="73"/>
  <c r="U108" i="73"/>
  <c r="X107" i="73"/>
  <c r="Z114" i="73"/>
  <c r="J114" i="73"/>
  <c r="M113" i="73"/>
  <c r="P112" i="73"/>
  <c r="S111" i="73"/>
  <c r="V110" i="73"/>
  <c r="Y109" i="73"/>
  <c r="AB108" i="73"/>
  <c r="L108" i="73"/>
  <c r="O107" i="73"/>
  <c r="Q114" i="73"/>
  <c r="T113" i="73"/>
  <c r="W112" i="73"/>
  <c r="Z111" i="73"/>
  <c r="J111" i="73"/>
  <c r="M110" i="73"/>
  <c r="P109" i="73"/>
  <c r="S108" i="73"/>
  <c r="V107" i="73"/>
  <c r="O114" i="73"/>
  <c r="R113" i="73"/>
  <c r="U112" i="73"/>
  <c r="X111" i="73"/>
  <c r="AA110" i="73"/>
  <c r="K110" i="73"/>
  <c r="N109" i="73"/>
  <c r="Q108" i="73"/>
  <c r="T107" i="73"/>
  <c r="V114" i="73"/>
  <c r="Y113" i="73"/>
  <c r="AB112" i="73"/>
  <c r="L112" i="73"/>
  <c r="O111" i="73"/>
  <c r="R110" i="73"/>
  <c r="U109" i="73"/>
  <c r="X108" i="73"/>
  <c r="AA107" i="73"/>
  <c r="K107" i="73"/>
  <c r="M114" i="73"/>
  <c r="P113" i="73"/>
  <c r="S112" i="73"/>
  <c r="V111" i="73"/>
  <c r="Y110" i="73"/>
  <c r="AB109" i="73"/>
  <c r="L109" i="73"/>
  <c r="O108" i="73"/>
  <c r="R107" i="73"/>
  <c r="K114" i="73"/>
  <c r="Q112" i="73"/>
  <c r="W110" i="73"/>
  <c r="J109" i="73"/>
  <c r="P107" i="73"/>
  <c r="U113" i="73"/>
  <c r="AA111" i="73"/>
  <c r="N110" i="73"/>
  <c r="T108" i="73"/>
  <c r="Y114" i="73"/>
  <c r="L113" i="73"/>
  <c r="R111" i="73"/>
  <c r="X109" i="73"/>
  <c r="K108" i="73"/>
  <c r="J113" i="73"/>
  <c r="Z113" i="73"/>
  <c r="M112" i="73"/>
  <c r="S110" i="73"/>
  <c r="Y108" i="73"/>
  <c r="L107" i="73"/>
  <c r="Q113" i="73"/>
  <c r="W111" i="73"/>
  <c r="J110" i="73"/>
  <c r="P108" i="73"/>
  <c r="U114" i="73"/>
  <c r="AA112" i="73"/>
  <c r="N111" i="73"/>
  <c r="T109" i="73"/>
  <c r="Z107" i="73"/>
  <c r="W114" i="73"/>
  <c r="AB107" i="73"/>
  <c r="T112" i="73"/>
  <c r="M109" i="73"/>
  <c r="X113" i="73"/>
  <c r="Q110" i="73"/>
  <c r="AA114" i="73"/>
  <c r="N113" i="73"/>
  <c r="T111" i="73"/>
  <c r="Z109" i="73"/>
  <c r="M108" i="73"/>
  <c r="R114" i="73"/>
  <c r="X112" i="73"/>
  <c r="K111" i="73"/>
  <c r="Q109" i="73"/>
  <c r="W107" i="73"/>
  <c r="AB113" i="73"/>
  <c r="O112" i="73"/>
  <c r="U110" i="73"/>
  <c r="AA108" i="73"/>
  <c r="N107" i="73"/>
  <c r="P111" i="73"/>
  <c r="V109" i="73"/>
  <c r="N114" i="73"/>
  <c r="Z110" i="73"/>
  <c r="S107" i="73"/>
  <c r="K112" i="73"/>
  <c r="W108" i="73"/>
  <c r="J109" i="72"/>
  <c r="Q109" i="72"/>
  <c r="N110" i="72"/>
  <c r="K111" i="72"/>
  <c r="AA111" i="72"/>
  <c r="X112" i="72"/>
  <c r="U113" i="72"/>
  <c r="R114" i="72"/>
  <c r="O115" i="72"/>
  <c r="L116" i="72"/>
  <c r="AB116" i="72"/>
  <c r="U109" i="72"/>
  <c r="R110" i="72"/>
  <c r="O111" i="72"/>
  <c r="L112" i="72"/>
  <c r="AB112" i="72"/>
  <c r="Y113" i="72"/>
  <c r="V114" i="72"/>
  <c r="S115" i="72"/>
  <c r="P116" i="72"/>
  <c r="Y109" i="72"/>
  <c r="V110" i="72"/>
  <c r="S111" i="72"/>
  <c r="P112" i="72"/>
  <c r="M113" i="72"/>
  <c r="J114" i="72"/>
  <c r="Z114" i="72"/>
  <c r="W115" i="72"/>
  <c r="T116" i="72"/>
  <c r="M109" i="72"/>
  <c r="J110" i="72"/>
  <c r="Z110" i="72"/>
  <c r="W111" i="72"/>
  <c r="T112" i="72"/>
  <c r="Q113" i="72"/>
  <c r="N114" i="72"/>
  <c r="K115" i="72"/>
  <c r="AA115" i="72"/>
  <c r="X116" i="72"/>
  <c r="W116" i="72"/>
  <c r="Z115" i="72"/>
  <c r="J115" i="72"/>
  <c r="M114" i="72"/>
  <c r="P113" i="72"/>
  <c r="S112" i="72"/>
  <c r="V111" i="72"/>
  <c r="Y110" i="72"/>
  <c r="AB109" i="72"/>
  <c r="L109" i="72"/>
  <c r="N116" i="72"/>
  <c r="Q115" i="72"/>
  <c r="T114" i="72"/>
  <c r="W113" i="72"/>
  <c r="Z112" i="72"/>
  <c r="J112" i="72"/>
  <c r="M111" i="72"/>
  <c r="P110" i="72"/>
  <c r="S109" i="72"/>
  <c r="U116" i="72"/>
  <c r="X115" i="72"/>
  <c r="AA114" i="72"/>
  <c r="K114" i="72"/>
  <c r="N113" i="72"/>
  <c r="Q112" i="72"/>
  <c r="T111" i="72"/>
  <c r="W110" i="72"/>
  <c r="Z109" i="72"/>
  <c r="S116" i="72"/>
  <c r="V115" i="72"/>
  <c r="Y114" i="72"/>
  <c r="AB113" i="72"/>
  <c r="L113" i="72"/>
  <c r="O112" i="72"/>
  <c r="R111" i="72"/>
  <c r="U110" i="72"/>
  <c r="X109" i="72"/>
  <c r="Z116" i="72"/>
  <c r="J116" i="72"/>
  <c r="M115" i="72"/>
  <c r="P114" i="72"/>
  <c r="S113" i="72"/>
  <c r="V112" i="72"/>
  <c r="Y111" i="72"/>
  <c r="AB110" i="72"/>
  <c r="L110" i="72"/>
  <c r="O109" i="72"/>
  <c r="Q116" i="72"/>
  <c r="T115" i="72"/>
  <c r="W114" i="72"/>
  <c r="Z113" i="72"/>
  <c r="J113" i="72"/>
  <c r="M112" i="72"/>
  <c r="P111" i="72"/>
  <c r="S110" i="72"/>
  <c r="V109" i="72"/>
  <c r="O116" i="72"/>
  <c r="U114" i="72"/>
  <c r="AA112" i="72"/>
  <c r="N111" i="72"/>
  <c r="T109" i="72"/>
  <c r="Y115" i="72"/>
  <c r="L114" i="72"/>
  <c r="R112" i="72"/>
  <c r="X110" i="72"/>
  <c r="K109" i="72"/>
  <c r="P115" i="72"/>
  <c r="V113" i="72"/>
  <c r="AB111" i="72"/>
  <c r="O110" i="72"/>
  <c r="AB115" i="72"/>
  <c r="K116" i="72"/>
  <c r="Q114" i="72"/>
  <c r="W112" i="72"/>
  <c r="J111" i="72"/>
  <c r="P109" i="72"/>
  <c r="U115" i="72"/>
  <c r="AA113" i="72"/>
  <c r="N112" i="72"/>
  <c r="T110" i="72"/>
  <c r="Y116" i="72"/>
  <c r="L115" i="72"/>
  <c r="R113" i="72"/>
  <c r="X111" i="72"/>
  <c r="K110" i="72"/>
  <c r="AA116" i="72"/>
  <c r="T113" i="72"/>
  <c r="M110" i="72"/>
  <c r="X114" i="72"/>
  <c r="Q111" i="72"/>
  <c r="O114" i="72"/>
  <c r="AA110" i="72"/>
  <c r="R115" i="72"/>
  <c r="X113" i="72"/>
  <c r="K112" i="72"/>
  <c r="Q110" i="72"/>
  <c r="V116" i="72"/>
  <c r="AB114" i="72"/>
  <c r="O113" i="72"/>
  <c r="U111" i="72"/>
  <c r="AA109" i="72"/>
  <c r="M116" i="72"/>
  <c r="S114" i="72"/>
  <c r="Y112" i="72"/>
  <c r="L111" i="72"/>
  <c r="R109" i="72"/>
  <c r="N115" i="72"/>
  <c r="Z111" i="72"/>
  <c r="R116" i="72"/>
  <c r="K113" i="72"/>
  <c r="W109" i="72"/>
  <c r="U112" i="72"/>
  <c r="N109" i="72"/>
  <c r="H143" i="31"/>
  <c r="S165" i="31" s="1"/>
  <c r="H138" i="31"/>
  <c r="H151" i="31"/>
  <c r="O195" i="31" s="1"/>
  <c r="H153" i="31"/>
  <c r="P197" i="31" s="1"/>
  <c r="R40" i="81"/>
  <c r="R48" i="81" s="1"/>
  <c r="R129" i="81" s="1"/>
  <c r="P40" i="81"/>
  <c r="P48" i="81" s="1"/>
  <c r="O40" i="81"/>
  <c r="O48" i="81" s="1"/>
  <c r="O129" i="81" s="1"/>
  <c r="Q40" i="81"/>
  <c r="Q48" i="81" s="1"/>
  <c r="Q129" i="81" s="1"/>
  <c r="L40" i="81"/>
  <c r="L48" i="81" s="1"/>
  <c r="L55" i="81" s="1"/>
  <c r="L56" i="81" s="1"/>
  <c r="L114" i="81" s="1"/>
  <c r="H154" i="31"/>
  <c r="H146" i="31"/>
  <c r="Q168" i="31" s="1"/>
  <c r="H147" i="31"/>
  <c r="O169" i="31" s="1"/>
  <c r="H145" i="31"/>
  <c r="P167" i="31" s="1"/>
  <c r="H141" i="31"/>
  <c r="L163" i="31" s="1"/>
  <c r="H142" i="31"/>
  <c r="Q164" i="31" s="1"/>
  <c r="H144" i="31"/>
  <c r="Q166" i="31" s="1"/>
  <c r="H140" i="31"/>
  <c r="O162" i="31" s="1"/>
  <c r="H139" i="31"/>
  <c r="S161" i="31" s="1"/>
  <c r="H155" i="31"/>
  <c r="P199" i="31" s="1"/>
  <c r="H148" i="31"/>
  <c r="O170" i="31" s="1"/>
  <c r="H149" i="31"/>
  <c r="H150" i="31"/>
  <c r="H152" i="31"/>
  <c r="N196" i="31" s="1"/>
  <c r="H156" i="31"/>
  <c r="O200" i="31" s="1"/>
  <c r="P88" i="22"/>
  <c r="P31" i="41" s="1"/>
  <c r="K114" i="22"/>
  <c r="K188" i="80" s="1"/>
  <c r="BN122" i="41"/>
  <c r="BJ122" i="41"/>
  <c r="BF122" i="41"/>
  <c r="AY122" i="41"/>
  <c r="AU122" i="41"/>
  <c r="AQ122" i="41"/>
  <c r="AM122" i="41"/>
  <c r="AF122" i="41"/>
  <c r="AB122" i="41"/>
  <c r="X122" i="41"/>
  <c r="T122" i="41"/>
  <c r="M122" i="41"/>
  <c r="AC122" i="41"/>
  <c r="N122" i="41"/>
  <c r="BM122" i="41"/>
  <c r="BI122" i="41"/>
  <c r="BB122" i="41"/>
  <c r="AX122" i="41"/>
  <c r="AT122" i="41"/>
  <c r="AP122" i="41"/>
  <c r="AI122" i="41"/>
  <c r="AE122" i="41"/>
  <c r="AA122" i="41"/>
  <c r="W122" i="41"/>
  <c r="P122" i="41"/>
  <c r="L122" i="41"/>
  <c r="AN122" i="41"/>
  <c r="U122" i="41"/>
  <c r="J122" i="41"/>
  <c r="BL122" i="41"/>
  <c r="BH122" i="41"/>
  <c r="BA122" i="41"/>
  <c r="AW122" i="41"/>
  <c r="AS122" i="41"/>
  <c r="AO122" i="41"/>
  <c r="AH122" i="41"/>
  <c r="AD122" i="41"/>
  <c r="Z122" i="41"/>
  <c r="V122" i="41"/>
  <c r="O122" i="41"/>
  <c r="K122" i="41"/>
  <c r="BK122" i="41"/>
  <c r="BG122" i="41"/>
  <c r="AZ122" i="41"/>
  <c r="AV122" i="41"/>
  <c r="AR122" i="41"/>
  <c r="AG122" i="41"/>
  <c r="Y122" i="41"/>
  <c r="P125" i="22"/>
  <c r="P189" i="80" s="1"/>
  <c r="T114" i="22"/>
  <c r="T188" i="80" s="1"/>
  <c r="O77" i="22"/>
  <c r="O30" i="41" s="1"/>
  <c r="M77" i="22"/>
  <c r="M30" i="41" s="1"/>
  <c r="P77" i="22"/>
  <c r="P30" i="41" s="1"/>
  <c r="T66" i="22"/>
  <c r="T31" i="53" s="1"/>
  <c r="K136" i="22"/>
  <c r="K35" i="41" s="1"/>
  <c r="K156" i="41" s="1"/>
  <c r="T103" i="22"/>
  <c r="T16" i="111" s="1"/>
  <c r="L114" i="22"/>
  <c r="L33" i="41" s="1"/>
  <c r="L154" i="41" s="1"/>
  <c r="K66" i="22"/>
  <c r="K56" i="80" s="1"/>
  <c r="M88" i="22"/>
  <c r="M58" i="80" s="1"/>
  <c r="M103" i="22"/>
  <c r="M32" i="41" s="1"/>
  <c r="M153" i="41" s="1"/>
  <c r="L88" i="22"/>
  <c r="L58" i="80" s="1"/>
  <c r="L103" i="22"/>
  <c r="L32" i="41" s="1"/>
  <c r="L153" i="41" s="1"/>
  <c r="L66" i="22"/>
  <c r="L29" i="41" s="1"/>
  <c r="J103" i="22"/>
  <c r="J16" i="111" s="1"/>
  <c r="J66" i="22"/>
  <c r="J31" i="53" s="1"/>
  <c r="O125" i="22"/>
  <c r="O189" i="80" s="1"/>
  <c r="P136" i="22"/>
  <c r="P35" i="41" s="1"/>
  <c r="P156" i="41" s="1"/>
  <c r="R198" i="31"/>
  <c r="N198" i="31"/>
  <c r="J198" i="31"/>
  <c r="Q198" i="31"/>
  <c r="M198" i="31"/>
  <c r="L198" i="31"/>
  <c r="S198" i="31"/>
  <c r="K198" i="31"/>
  <c r="P198" i="31"/>
  <c r="O198" i="31"/>
  <c r="J195" i="31"/>
  <c r="M21" i="31"/>
  <c r="N20" i="31"/>
  <c r="N129" i="81"/>
  <c r="N55" i="81"/>
  <c r="N56" i="81" s="1"/>
  <c r="N114" i="81" s="1"/>
  <c r="P129" i="81"/>
  <c r="P55" i="81"/>
  <c r="P56" i="81" s="1"/>
  <c r="P114" i="81" s="1"/>
  <c r="J136" i="22"/>
  <c r="J35" i="41" s="1"/>
  <c r="J156" i="41" s="1"/>
  <c r="O66" i="22"/>
  <c r="K88" i="22"/>
  <c r="J88" i="22"/>
  <c r="L77" i="22"/>
  <c r="M66" i="22"/>
  <c r="J125" i="22"/>
  <c r="P103" i="22"/>
  <c r="T136" i="22"/>
  <c r="T35" i="41" s="1"/>
  <c r="T156" i="41" s="1"/>
  <c r="M136" i="22"/>
  <c r="M35" i="41" s="1"/>
  <c r="M156" i="41" s="1"/>
  <c r="K32" i="53"/>
  <c r="K30" i="41"/>
  <c r="K57" i="80"/>
  <c r="J77" i="22"/>
  <c r="O103" i="22"/>
  <c r="L136" i="22"/>
  <c r="L35" i="41" s="1"/>
  <c r="L156" i="41" s="1"/>
  <c r="M125" i="22"/>
  <c r="K103" i="22"/>
  <c r="T77" i="22"/>
  <c r="J114" i="22"/>
  <c r="O114" i="22"/>
  <c r="L125" i="22"/>
  <c r="M114" i="22"/>
  <c r="K125" i="22"/>
  <c r="T88" i="22"/>
  <c r="O88" i="22"/>
  <c r="P114" i="22"/>
  <c r="P66" i="22"/>
  <c r="T125" i="22"/>
  <c r="Z108" i="83"/>
  <c r="Z118" i="80"/>
  <c r="X87" i="83"/>
  <c r="X75" i="80"/>
  <c r="X96" i="83"/>
  <c r="X95" i="80"/>
  <c r="AA90" i="83"/>
  <c r="AA78" i="80"/>
  <c r="Z107" i="83"/>
  <c r="Z117" i="80"/>
  <c r="Z112" i="83"/>
  <c r="Z122" i="80"/>
  <c r="Z114" i="83"/>
  <c r="Z124" i="80"/>
  <c r="Z94" i="83"/>
  <c r="Z93" i="83"/>
  <c r="Z93" i="80"/>
  <c r="AA102" i="83"/>
  <c r="AA101" i="80"/>
  <c r="Z83" i="83"/>
  <c r="Z71" i="80"/>
  <c r="AA109" i="83"/>
  <c r="AA119" i="80"/>
  <c r="AA94" i="83"/>
  <c r="AA93" i="83"/>
  <c r="AA93" i="80"/>
  <c r="Z113" i="83"/>
  <c r="Z123" i="80"/>
  <c r="AA99" i="83"/>
  <c r="AA98" i="80"/>
  <c r="AA86" i="83"/>
  <c r="AA74" i="80"/>
  <c r="X114" i="83"/>
  <c r="X124" i="80"/>
  <c r="X107" i="83"/>
  <c r="X117" i="80"/>
  <c r="Z87" i="83"/>
  <c r="Z75" i="80"/>
  <c r="AA97" i="83"/>
  <c r="AA96" i="80"/>
  <c r="AA87" i="83"/>
  <c r="AA75" i="80"/>
  <c r="AA98" i="83"/>
  <c r="AA97" i="80"/>
  <c r="AA84" i="83"/>
  <c r="AA72" i="80"/>
  <c r="AA111" i="83"/>
  <c r="AA121" i="80"/>
  <c r="AA96" i="83"/>
  <c r="AA95" i="80"/>
  <c r="X88" i="83"/>
  <c r="X76" i="80"/>
  <c r="X109" i="83"/>
  <c r="X119" i="80"/>
  <c r="X106" i="83"/>
  <c r="X105" i="83"/>
  <c r="X116" i="80"/>
  <c r="X83" i="83"/>
  <c r="X71" i="80"/>
  <c r="AA112" i="83"/>
  <c r="AA122" i="80"/>
  <c r="AA113" i="83"/>
  <c r="AA123" i="80"/>
  <c r="AA108" i="83"/>
  <c r="AA118" i="80"/>
  <c r="AA88" i="83"/>
  <c r="AA76" i="80"/>
  <c r="AA89" i="83"/>
  <c r="AA77" i="80"/>
  <c r="Z96" i="83"/>
  <c r="Z95" i="80"/>
  <c r="Z106" i="83"/>
  <c r="Z105" i="83"/>
  <c r="Z116" i="80"/>
  <c r="AA100" i="83"/>
  <c r="AA99" i="80"/>
  <c r="AA107" i="83"/>
  <c r="AA117" i="80"/>
  <c r="Z109" i="83"/>
  <c r="Z119" i="80"/>
  <c r="X110" i="83"/>
  <c r="X120" i="80"/>
  <c r="Z111" i="83"/>
  <c r="Z121" i="80"/>
  <c r="Z81" i="83"/>
  <c r="Z82" i="83"/>
  <c r="Z70" i="80"/>
  <c r="AA95" i="83"/>
  <c r="AA94" i="80"/>
  <c r="Z84" i="83"/>
  <c r="Z72" i="80"/>
  <c r="Z110" i="83"/>
  <c r="Z120" i="80"/>
  <c r="AA83" i="83"/>
  <c r="AA71" i="80"/>
  <c r="AA106" i="83"/>
  <c r="AA105" i="83"/>
  <c r="AA116" i="80"/>
  <c r="AA82" i="83"/>
  <c r="AA81" i="83"/>
  <c r="AA70" i="80"/>
  <c r="AA101" i="83"/>
  <c r="AA100" i="80"/>
  <c r="AA114" i="83"/>
  <c r="AA124" i="80"/>
  <c r="J40" i="55"/>
  <c r="J160" i="31"/>
  <c r="O160" i="31"/>
  <c r="Q160" i="31"/>
  <c r="K160" i="31"/>
  <c r="M160" i="31"/>
  <c r="S160" i="31"/>
  <c r="R160" i="31"/>
  <c r="N160" i="31"/>
  <c r="P160" i="31"/>
  <c r="L160" i="31"/>
  <c r="P176" i="31"/>
  <c r="L176" i="31"/>
  <c r="N176" i="31"/>
  <c r="S176" i="31"/>
  <c r="J176" i="31"/>
  <c r="Q176" i="31"/>
  <c r="R176" i="31"/>
  <c r="M176" i="31"/>
  <c r="O176" i="31"/>
  <c r="K176" i="31"/>
  <c r="O173" i="31"/>
  <c r="S175" i="31" l="1"/>
  <c r="M165" i="31"/>
  <c r="P165" i="31"/>
  <c r="J165" i="31"/>
  <c r="R188" i="80"/>
  <c r="R191" i="80" s="1"/>
  <c r="R192" i="80" s="1"/>
  <c r="N165" i="31"/>
  <c r="Q165" i="31"/>
  <c r="K165" i="31"/>
  <c r="O165" i="31"/>
  <c r="L165" i="31"/>
  <c r="R165" i="31"/>
  <c r="S34" i="41"/>
  <c r="S155" i="41" s="1"/>
  <c r="O57" i="80"/>
  <c r="L195" i="31"/>
  <c r="S58" i="80"/>
  <c r="L173" i="31"/>
  <c r="M195" i="31"/>
  <c r="R33" i="53"/>
  <c r="R31" i="41"/>
  <c r="BD103" i="41" s="1"/>
  <c r="S31" i="41"/>
  <c r="BE103" i="41" s="1"/>
  <c r="R92" i="22"/>
  <c r="R17" i="111" s="1"/>
  <c r="J56" i="80"/>
  <c r="K29" i="41"/>
  <c r="P34" i="41"/>
  <c r="P155" i="41" s="1"/>
  <c r="R32" i="41"/>
  <c r="R153" i="41" s="1"/>
  <c r="R16" i="111"/>
  <c r="R18" i="74"/>
  <c r="R57" i="80"/>
  <c r="R59" i="80" s="1"/>
  <c r="R200" i="80" s="1"/>
  <c r="R20" i="74" s="1"/>
  <c r="R32" i="53"/>
  <c r="R30" i="41"/>
  <c r="AK103" i="41" s="1"/>
  <c r="S29" i="41"/>
  <c r="S103" i="41" s="1"/>
  <c r="S31" i="53"/>
  <c r="S56" i="80"/>
  <c r="S28" i="111"/>
  <c r="S34" i="111" s="1"/>
  <c r="S27" i="111"/>
  <c r="S33" i="111" s="1"/>
  <c r="S92" i="22"/>
  <c r="S17" i="111" s="1"/>
  <c r="S57" i="80"/>
  <c r="S30" i="41"/>
  <c r="AL103" i="41" s="1"/>
  <c r="S32" i="53"/>
  <c r="S191" i="80"/>
  <c r="S192" i="80" s="1"/>
  <c r="Q55" i="81"/>
  <c r="Q56" i="81" s="1"/>
  <c r="Q114" i="81" s="1"/>
  <c r="R195" i="31"/>
  <c r="N173" i="31"/>
  <c r="Q173" i="31"/>
  <c r="J175" i="31"/>
  <c r="S195" i="31"/>
  <c r="O197" i="31"/>
  <c r="K175" i="31"/>
  <c r="Q175" i="31"/>
  <c r="J197" i="31"/>
  <c r="M173" i="31"/>
  <c r="J173" i="31"/>
  <c r="N175" i="31"/>
  <c r="L175" i="31"/>
  <c r="M163" i="31"/>
  <c r="O55" i="81"/>
  <c r="O56" i="81" s="1"/>
  <c r="O114" i="81" s="1"/>
  <c r="N195" i="31"/>
  <c r="K195" i="31"/>
  <c r="P195" i="31"/>
  <c r="R197" i="31"/>
  <c r="S168" i="31"/>
  <c r="S197" i="31"/>
  <c r="S169" i="31"/>
  <c r="P173" i="31"/>
  <c r="R173" i="31"/>
  <c r="K173" i="31"/>
  <c r="S173" i="31"/>
  <c r="R175" i="31"/>
  <c r="O175" i="31"/>
  <c r="R163" i="31"/>
  <c r="Q195" i="31"/>
  <c r="M197" i="31"/>
  <c r="L168" i="31"/>
  <c r="Q162" i="31"/>
  <c r="R168" i="31"/>
  <c r="R55" i="81"/>
  <c r="R56" i="81" s="1"/>
  <c r="R114" i="81" s="1"/>
  <c r="H51" i="72" s="1" a="1"/>
  <c r="H54" i="72" s="1"/>
  <c r="P175" i="31"/>
  <c r="M175" i="31"/>
  <c r="Q197" i="31"/>
  <c r="N197" i="31"/>
  <c r="L197" i="31"/>
  <c r="K197" i="31"/>
  <c r="M169" i="31"/>
  <c r="N163" i="31"/>
  <c r="K163" i="31"/>
  <c r="S163" i="31"/>
  <c r="Q169" i="31"/>
  <c r="O163" i="31"/>
  <c r="Q163" i="31"/>
  <c r="N169" i="31"/>
  <c r="K168" i="31"/>
  <c r="N168" i="31"/>
  <c r="R169" i="31"/>
  <c r="J168" i="31"/>
  <c r="M168" i="31"/>
  <c r="M167" i="31"/>
  <c r="O167" i="31"/>
  <c r="K167" i="31"/>
  <c r="L170" i="31"/>
  <c r="P166" i="31"/>
  <c r="L169" i="31"/>
  <c r="K169" i="31"/>
  <c r="J167" i="31"/>
  <c r="M178" i="31"/>
  <c r="L200" i="31"/>
  <c r="P169" i="31"/>
  <c r="J169" i="31"/>
  <c r="N167" i="31"/>
  <c r="O168" i="31"/>
  <c r="P168" i="31"/>
  <c r="M200" i="31"/>
  <c r="R178" i="31"/>
  <c r="S170" i="31"/>
  <c r="M170" i="31"/>
  <c r="K178" i="31"/>
  <c r="Q178" i="31"/>
  <c r="M166" i="31"/>
  <c r="N200" i="31"/>
  <c r="Q167" i="31"/>
  <c r="R167" i="31"/>
  <c r="S167" i="31"/>
  <c r="K170" i="31"/>
  <c r="K166" i="31"/>
  <c r="Q170" i="31"/>
  <c r="N178" i="31"/>
  <c r="J166" i="31"/>
  <c r="S166" i="31"/>
  <c r="R200" i="31"/>
  <c r="L167" i="31"/>
  <c r="S200" i="31"/>
  <c r="O199" i="31"/>
  <c r="P163" i="31"/>
  <c r="J163" i="31"/>
  <c r="L177" i="31"/>
  <c r="S196" i="31"/>
  <c r="J172" i="31"/>
  <c r="L194" i="31"/>
  <c r="P194" i="31"/>
  <c r="S194" i="31"/>
  <c r="M194" i="31"/>
  <c r="Q194" i="31"/>
  <c r="K194" i="31"/>
  <c r="O194" i="31"/>
  <c r="J194" i="31"/>
  <c r="N194" i="31"/>
  <c r="R194" i="31"/>
  <c r="M177" i="31"/>
  <c r="J193" i="31"/>
  <c r="N193" i="31"/>
  <c r="R193" i="31"/>
  <c r="Q193" i="31"/>
  <c r="K193" i="31"/>
  <c r="O193" i="31"/>
  <c r="S193" i="31"/>
  <c r="L193" i="31"/>
  <c r="P193" i="31"/>
  <c r="M193" i="31"/>
  <c r="O177" i="31"/>
  <c r="S164" i="31"/>
  <c r="Q199" i="31"/>
  <c r="R177" i="31"/>
  <c r="O174" i="31"/>
  <c r="K164" i="31"/>
  <c r="J199" i="31"/>
  <c r="S199" i="31"/>
  <c r="R196" i="31"/>
  <c r="P177" i="31"/>
  <c r="N177" i="31"/>
  <c r="Q177" i="31"/>
  <c r="L164" i="31"/>
  <c r="M164" i="31"/>
  <c r="O164" i="31"/>
  <c r="J164" i="31"/>
  <c r="M199" i="31"/>
  <c r="R199" i="31"/>
  <c r="L199" i="31"/>
  <c r="K177" i="31"/>
  <c r="S177" i="31"/>
  <c r="J177" i="31"/>
  <c r="P164" i="31"/>
  <c r="N164" i="31"/>
  <c r="R164" i="31"/>
  <c r="N199" i="31"/>
  <c r="K199" i="31"/>
  <c r="K162" i="31"/>
  <c r="S162" i="31"/>
  <c r="K171" i="31"/>
  <c r="R170" i="31"/>
  <c r="P170" i="31"/>
  <c r="P162" i="31"/>
  <c r="N162" i="31"/>
  <c r="L178" i="31"/>
  <c r="J178" i="31"/>
  <c r="P171" i="31"/>
  <c r="R166" i="31"/>
  <c r="O166" i="31"/>
  <c r="P200" i="31"/>
  <c r="K200" i="31"/>
  <c r="J170" i="31"/>
  <c r="N170" i="31"/>
  <c r="R162" i="31"/>
  <c r="P178" i="31"/>
  <c r="O178" i="31"/>
  <c r="S178" i="31"/>
  <c r="N166" i="31"/>
  <c r="L166" i="31"/>
  <c r="J200" i="31"/>
  <c r="Q200" i="31"/>
  <c r="M162" i="31"/>
  <c r="J162" i="31"/>
  <c r="L162" i="31"/>
  <c r="L161" i="31"/>
  <c r="K161" i="31"/>
  <c r="N161" i="31"/>
  <c r="P161" i="31"/>
  <c r="Q161" i="31"/>
  <c r="R172" i="31"/>
  <c r="M161" i="31"/>
  <c r="O161" i="31"/>
  <c r="K172" i="31"/>
  <c r="S172" i="31"/>
  <c r="O172" i="31"/>
  <c r="J161" i="31"/>
  <c r="R161" i="31"/>
  <c r="M172" i="31"/>
  <c r="P172" i="31"/>
  <c r="N172" i="31"/>
  <c r="J174" i="31"/>
  <c r="L196" i="31"/>
  <c r="L174" i="31"/>
  <c r="O196" i="31"/>
  <c r="P174" i="31"/>
  <c r="P196" i="31"/>
  <c r="R174" i="31"/>
  <c r="M196" i="31"/>
  <c r="M174" i="31"/>
  <c r="Q196" i="31"/>
  <c r="N174" i="31"/>
  <c r="K174" i="31"/>
  <c r="J196" i="31"/>
  <c r="S174" i="31"/>
  <c r="Q174" i="31"/>
  <c r="T18" i="74"/>
  <c r="K196" i="31"/>
  <c r="O171" i="31"/>
  <c r="L171" i="31"/>
  <c r="R171" i="31"/>
  <c r="Q171" i="31"/>
  <c r="N171" i="31"/>
  <c r="M171" i="31"/>
  <c r="J171" i="31"/>
  <c r="S171" i="31"/>
  <c r="Q172" i="31"/>
  <c r="L172" i="31"/>
  <c r="P33" i="53"/>
  <c r="M33" i="53"/>
  <c r="K33" i="41"/>
  <c r="K154" i="41" s="1"/>
  <c r="P58" i="80"/>
  <c r="M32" i="53"/>
  <c r="L31" i="53"/>
  <c r="T56" i="80"/>
  <c r="L16" i="111"/>
  <c r="L27" i="111" s="1"/>
  <c r="L33" i="111" s="1"/>
  <c r="L56" i="80"/>
  <c r="M31" i="41"/>
  <c r="M84" i="41" s="1"/>
  <c r="AY103" i="41" s="1"/>
  <c r="T33" i="41"/>
  <c r="T154" i="41" s="1"/>
  <c r="L33" i="53"/>
  <c r="L188" i="80"/>
  <c r="L31" i="41"/>
  <c r="L84" i="41" s="1"/>
  <c r="AX103" i="41" s="1"/>
  <c r="J29" i="41"/>
  <c r="J82" i="41" s="1"/>
  <c r="J103" i="41" s="1"/>
  <c r="T29" i="41"/>
  <c r="T82" i="41" s="1"/>
  <c r="T103" i="41" s="1"/>
  <c r="O32" i="53"/>
  <c r="L18" i="74"/>
  <c r="K31" i="53"/>
  <c r="P57" i="80"/>
  <c r="J32" i="41"/>
  <c r="J153" i="41" s="1"/>
  <c r="M16" i="111"/>
  <c r="M28" i="111" s="1"/>
  <c r="M34" i="111" s="1"/>
  <c r="P32" i="53"/>
  <c r="P92" i="22"/>
  <c r="P17" i="111" s="1"/>
  <c r="M57" i="80"/>
  <c r="J18" i="74"/>
  <c r="M18" i="74"/>
  <c r="T32" i="41"/>
  <c r="T153" i="41" s="1"/>
  <c r="O34" i="41"/>
  <c r="O155" i="41" s="1"/>
  <c r="H129" i="81"/>
  <c r="N21" i="31"/>
  <c r="N23" i="31" s="1"/>
  <c r="O20" i="31"/>
  <c r="M23" i="31"/>
  <c r="P22" i="31"/>
  <c r="P23" i="31" s="1"/>
  <c r="P188" i="80"/>
  <c r="P191" i="80" s="1"/>
  <c r="P192" i="80" s="1"/>
  <c r="P33" i="41"/>
  <c r="P154" i="41" s="1"/>
  <c r="L34" i="41"/>
  <c r="L155" i="41" s="1"/>
  <c r="L189" i="80"/>
  <c r="O32" i="41"/>
  <c r="O153" i="41" s="1"/>
  <c r="O18" i="74"/>
  <c r="O16" i="111"/>
  <c r="J34" i="41"/>
  <c r="J155" i="41" s="1"/>
  <c r="J189" i="80"/>
  <c r="M56" i="80"/>
  <c r="M31" i="53"/>
  <c r="M29" i="41"/>
  <c r="M82" i="41" s="1"/>
  <c r="M103" i="41" s="1"/>
  <c r="L57" i="80"/>
  <c r="L30" i="41"/>
  <c r="L32" i="53"/>
  <c r="O31" i="53"/>
  <c r="O29" i="41"/>
  <c r="O56" i="80"/>
  <c r="O92" i="22"/>
  <c r="O17" i="111" s="1"/>
  <c r="O31" i="41"/>
  <c r="O58" i="80"/>
  <c r="O33" i="53"/>
  <c r="T58" i="80"/>
  <c r="T31" i="41"/>
  <c r="T33" i="53"/>
  <c r="T92" i="22"/>
  <c r="T17" i="111" s="1"/>
  <c r="T29" i="111" s="1"/>
  <c r="O33" i="41"/>
  <c r="O154" i="41" s="1"/>
  <c r="O188" i="80"/>
  <c r="O191" i="80" s="1"/>
  <c r="O192" i="80" s="1"/>
  <c r="K32" i="41"/>
  <c r="K153" i="41" s="1"/>
  <c r="K16" i="111"/>
  <c r="K18" i="74"/>
  <c r="J32" i="53"/>
  <c r="J30" i="41"/>
  <c r="J57" i="80"/>
  <c r="T34" i="41"/>
  <c r="T155" i="41" s="1"/>
  <c r="T189" i="80"/>
  <c r="T191" i="80" s="1"/>
  <c r="T192" i="80" s="1"/>
  <c r="J28" i="111"/>
  <c r="J34" i="111" s="1"/>
  <c r="J27" i="111"/>
  <c r="J33" i="111" s="1"/>
  <c r="K189" i="80"/>
  <c r="K191" i="80" s="1"/>
  <c r="K192" i="80" s="1"/>
  <c r="K34" i="41"/>
  <c r="K155" i="41" s="1"/>
  <c r="J188" i="80"/>
  <c r="J33" i="41"/>
  <c r="J154" i="41" s="1"/>
  <c r="M34" i="41"/>
  <c r="M155" i="41" s="1"/>
  <c r="M189" i="80"/>
  <c r="M92" i="22"/>
  <c r="M17" i="111" s="1"/>
  <c r="J33" i="53"/>
  <c r="J58" i="80"/>
  <c r="J31" i="41"/>
  <c r="J92" i="22"/>
  <c r="J17" i="111" s="1"/>
  <c r="T28" i="111"/>
  <c r="T34" i="111" s="1"/>
  <c r="T27" i="111"/>
  <c r="P29" i="41"/>
  <c r="P56" i="80"/>
  <c r="P31" i="53"/>
  <c r="M33" i="41"/>
  <c r="M154" i="41" s="1"/>
  <c r="M188" i="80"/>
  <c r="T32" i="53"/>
  <c r="T30" i="41"/>
  <c r="T57" i="80"/>
  <c r="P18" i="74"/>
  <c r="P32" i="41"/>
  <c r="P153" i="41" s="1"/>
  <c r="P16" i="111"/>
  <c r="K92" i="22"/>
  <c r="K17" i="111" s="1"/>
  <c r="K58" i="80"/>
  <c r="K59" i="80" s="1"/>
  <c r="K31" i="41"/>
  <c r="K33" i="53"/>
  <c r="L92" i="22"/>
  <c r="L17" i="111" s="1"/>
  <c r="Z89" i="83"/>
  <c r="Z77" i="80"/>
  <c r="X108" i="83"/>
  <c r="X118" i="80"/>
  <c r="X86" i="83"/>
  <c r="X74" i="80"/>
  <c r="X111" i="83"/>
  <c r="X121" i="80"/>
  <c r="X99" i="83"/>
  <c r="X98" i="80"/>
  <c r="Z98" i="83"/>
  <c r="Z97" i="80"/>
  <c r="Z85" i="83"/>
  <c r="Z73" i="80"/>
  <c r="Z88" i="83"/>
  <c r="Z76" i="80"/>
  <c r="X82" i="83"/>
  <c r="X81" i="83"/>
  <c r="X70" i="80"/>
  <c r="X85" i="83"/>
  <c r="X73" i="80"/>
  <c r="X95" i="83"/>
  <c r="X94" i="80"/>
  <c r="X101" i="83"/>
  <c r="X100" i="80"/>
  <c r="X97" i="83"/>
  <c r="X96" i="80"/>
  <c r="Z102" i="83"/>
  <c r="Z101" i="80"/>
  <c r="AA85" i="83"/>
  <c r="AA73" i="80"/>
  <c r="Z97" i="83"/>
  <c r="Z96" i="80"/>
  <c r="Z99" i="83"/>
  <c r="Z98" i="80"/>
  <c r="X102" i="83"/>
  <c r="X101" i="80"/>
  <c r="Z101" i="83"/>
  <c r="Z100" i="80"/>
  <c r="X100" i="83"/>
  <c r="X99" i="80"/>
  <c r="X90" i="83"/>
  <c r="X78" i="80"/>
  <c r="Z100" i="83"/>
  <c r="Z99" i="80"/>
  <c r="Z86" i="83"/>
  <c r="Z74" i="80"/>
  <c r="AA110" i="83"/>
  <c r="AA120" i="80"/>
  <c r="X94" i="83"/>
  <c r="X93" i="83"/>
  <c r="X93" i="80"/>
  <c r="Z95" i="83"/>
  <c r="Z94" i="80"/>
  <c r="X112" i="83"/>
  <c r="X122" i="80"/>
  <c r="X98" i="83"/>
  <c r="X97" i="80"/>
  <c r="X84" i="83"/>
  <c r="X72" i="80"/>
  <c r="X113" i="83"/>
  <c r="X123" i="80"/>
  <c r="X89" i="83"/>
  <c r="X77" i="80"/>
  <c r="Z90" i="83"/>
  <c r="Z78" i="80"/>
  <c r="M83" i="41"/>
  <c r="AF103" i="41" s="1"/>
  <c r="K83" i="41"/>
  <c r="AD103" i="41" s="1"/>
  <c r="L59" i="80" l="1"/>
  <c r="L200" i="80" s="1"/>
  <c r="L20" i="74" s="1"/>
  <c r="R34" i="53"/>
  <c r="S34" i="53"/>
  <c r="R27" i="111"/>
  <c r="R33" i="111" s="1"/>
  <c r="R28" i="111"/>
  <c r="R34" i="111" s="1"/>
  <c r="S59" i="80"/>
  <c r="S200" i="80" s="1"/>
  <c r="S20" i="74" s="1"/>
  <c r="H53" i="73" a="1"/>
  <c r="H60" i="73" s="1"/>
  <c r="H20" i="83" a="1"/>
  <c r="H26" i="83" s="1"/>
  <c r="H57" i="72"/>
  <c r="J80" i="73" a="1"/>
  <c r="K82" i="73" s="1"/>
  <c r="H55" i="72"/>
  <c r="H53" i="72"/>
  <c r="H51" i="72"/>
  <c r="H52" i="72"/>
  <c r="H58" i="72"/>
  <c r="J34" i="80" a="1"/>
  <c r="R35" i="80" s="1"/>
  <c r="H56" i="72"/>
  <c r="U93" i="72" a="1"/>
  <c r="J55" i="83" a="1"/>
  <c r="H53" i="73"/>
  <c r="L28" i="111"/>
  <c r="L34" i="111" s="1"/>
  <c r="K200" i="80"/>
  <c r="K20" i="74" s="1"/>
  <c r="K34" i="53"/>
  <c r="L191" i="80"/>
  <c r="L192" i="80" s="1"/>
  <c r="P59" i="80"/>
  <c r="P200" i="80" s="1"/>
  <c r="P20" i="74" s="1"/>
  <c r="L34" i="53"/>
  <c r="J83" i="41"/>
  <c r="AC103" i="41" s="1"/>
  <c r="M59" i="80"/>
  <c r="M27" i="111"/>
  <c r="M33" i="111" s="1"/>
  <c r="J84" i="41"/>
  <c r="AV103" i="41" s="1"/>
  <c r="T83" i="41"/>
  <c r="AM103" i="41" s="1"/>
  <c r="T33" i="111"/>
  <c r="T59" i="80"/>
  <c r="T200" i="80" s="1"/>
  <c r="T20" i="74" s="1"/>
  <c r="T84" i="41"/>
  <c r="BF103" i="41" s="1"/>
  <c r="J59" i="80"/>
  <c r="J200" i="80" s="1"/>
  <c r="O59" i="80"/>
  <c r="O200" i="80" s="1"/>
  <c r="O20" i="74" s="1"/>
  <c r="P20" i="31"/>
  <c r="O21" i="31"/>
  <c r="O23" i="31" s="1"/>
  <c r="K255" i="80"/>
  <c r="K258" i="80"/>
  <c r="K252" i="80"/>
  <c r="K259" i="80"/>
  <c r="K257" i="80"/>
  <c r="K253" i="80"/>
  <c r="K256" i="80"/>
  <c r="K254" i="80"/>
  <c r="P27" i="111"/>
  <c r="P33" i="111" s="1"/>
  <c r="P28" i="111"/>
  <c r="P34" i="111" s="1"/>
  <c r="P34" i="53"/>
  <c r="J34" i="53"/>
  <c r="K28" i="111"/>
  <c r="K34" i="111" s="1"/>
  <c r="K27" i="111"/>
  <c r="K33" i="111" s="1"/>
  <c r="O34" i="53"/>
  <c r="O27" i="111"/>
  <c r="O33" i="111" s="1"/>
  <c r="O28" i="111"/>
  <c r="O34" i="111" s="1"/>
  <c r="M191" i="80"/>
  <c r="M192" i="80" s="1"/>
  <c r="J191" i="80"/>
  <c r="J192" i="80" s="1"/>
  <c r="T34" i="53"/>
  <c r="M34" i="53"/>
  <c r="M71" i="53" s="1"/>
  <c r="M73" i="53" s="1"/>
  <c r="Y96" i="83"/>
  <c r="Y95" i="80"/>
  <c r="Y114" i="83"/>
  <c r="Y124" i="80"/>
  <c r="Y109" i="83"/>
  <c r="Y119" i="80"/>
  <c r="Y90" i="83"/>
  <c r="Y78" i="80"/>
  <c r="Y89" i="83"/>
  <c r="Y77" i="80"/>
  <c r="Y101" i="83"/>
  <c r="Y100" i="80"/>
  <c r="Y110" i="83"/>
  <c r="Y120" i="80"/>
  <c r="W99" i="83"/>
  <c r="W98" i="80"/>
  <c r="W112" i="83"/>
  <c r="W122" i="80"/>
  <c r="W94" i="83"/>
  <c r="W93" i="83"/>
  <c r="W93" i="80"/>
  <c r="W101" i="83"/>
  <c r="W100" i="80"/>
  <c r="W107" i="83"/>
  <c r="W117" i="80"/>
  <c r="W114" i="83"/>
  <c r="W124" i="80"/>
  <c r="W84" i="83"/>
  <c r="W72" i="80"/>
  <c r="AB82" i="83"/>
  <c r="AB81" i="83"/>
  <c r="AB70" i="80"/>
  <c r="AB94" i="83"/>
  <c r="AB93" i="83"/>
  <c r="AB93" i="80"/>
  <c r="AB90" i="83"/>
  <c r="AB78" i="80"/>
  <c r="AB98" i="83"/>
  <c r="AB97" i="80"/>
  <c r="AB111" i="83"/>
  <c r="AB121" i="80"/>
  <c r="AB97" i="83"/>
  <c r="AB96" i="80"/>
  <c r="Y94" i="83"/>
  <c r="Y93" i="83"/>
  <c r="Y93" i="80"/>
  <c r="Y83" i="83"/>
  <c r="Y71" i="80"/>
  <c r="Y95" i="83"/>
  <c r="Y94" i="80"/>
  <c r="Y107" i="83"/>
  <c r="Y117" i="80"/>
  <c r="Y85" i="83"/>
  <c r="Y73" i="80"/>
  <c r="Y97" i="83"/>
  <c r="Y96" i="80"/>
  <c r="Y88" i="83"/>
  <c r="Y76" i="80"/>
  <c r="W100" i="83"/>
  <c r="W99" i="80"/>
  <c r="W85" i="83"/>
  <c r="W73" i="80"/>
  <c r="W113" i="83"/>
  <c r="W123" i="80"/>
  <c r="W95" i="83"/>
  <c r="W94" i="80"/>
  <c r="W98" i="83"/>
  <c r="W97" i="80"/>
  <c r="W87" i="83"/>
  <c r="W75" i="80"/>
  <c r="W97" i="83"/>
  <c r="W96" i="80"/>
  <c r="AB107" i="83"/>
  <c r="AB117" i="80"/>
  <c r="AB99" i="83"/>
  <c r="AB98" i="80"/>
  <c r="AB109" i="83"/>
  <c r="AB119" i="80"/>
  <c r="AB96" i="83"/>
  <c r="AB95" i="80"/>
  <c r="AB83" i="83"/>
  <c r="AB71" i="80"/>
  <c r="AB100" i="83"/>
  <c r="AB99" i="80"/>
  <c r="AB110" i="83"/>
  <c r="AB120" i="80"/>
  <c r="Y98" i="83"/>
  <c r="Y97" i="80"/>
  <c r="Y87" i="83"/>
  <c r="Y75" i="80"/>
  <c r="Y99" i="83"/>
  <c r="Y98" i="80"/>
  <c r="Y100" i="83"/>
  <c r="Y99" i="80"/>
  <c r="Y82" i="83"/>
  <c r="Y81" i="83"/>
  <c r="Y70" i="80"/>
  <c r="Y113" i="83"/>
  <c r="Y123" i="80"/>
  <c r="Y86" i="83"/>
  <c r="Y74" i="80"/>
  <c r="W106" i="83"/>
  <c r="W105" i="83"/>
  <c r="W116" i="80"/>
  <c r="W86" i="83"/>
  <c r="W74" i="80"/>
  <c r="W109" i="83"/>
  <c r="W119" i="80"/>
  <c r="W110" i="83"/>
  <c r="W120" i="80"/>
  <c r="W83" i="83"/>
  <c r="W71" i="80"/>
  <c r="W82" i="83"/>
  <c r="W81" i="83"/>
  <c r="W70" i="80"/>
  <c r="W96" i="83"/>
  <c r="W95" i="80"/>
  <c r="AB101" i="83"/>
  <c r="AB100" i="80"/>
  <c r="AB89" i="83"/>
  <c r="AB77" i="80"/>
  <c r="AB114" i="83"/>
  <c r="AB124" i="80"/>
  <c r="AB113" i="83"/>
  <c r="AB123" i="80"/>
  <c r="AB85" i="83"/>
  <c r="AB73" i="80"/>
  <c r="AB86" i="83"/>
  <c r="AB74" i="80"/>
  <c r="AB87" i="83"/>
  <c r="AB75" i="80"/>
  <c r="Y112" i="83"/>
  <c r="Y122" i="80"/>
  <c r="Y102" i="83"/>
  <c r="Y101" i="80"/>
  <c r="Y84" i="83"/>
  <c r="Y72" i="80"/>
  <c r="Y108" i="83"/>
  <c r="Y118" i="80"/>
  <c r="Y111" i="83"/>
  <c r="Y121" i="80"/>
  <c r="Y106" i="83"/>
  <c r="Y105" i="83"/>
  <c r="Y116" i="80"/>
  <c r="W89" i="83"/>
  <c r="W77" i="80"/>
  <c r="W111" i="83"/>
  <c r="W121" i="80"/>
  <c r="W90" i="83"/>
  <c r="W78" i="80"/>
  <c r="W108" i="83"/>
  <c r="W118" i="80"/>
  <c r="W88" i="83"/>
  <c r="W76" i="80"/>
  <c r="W102" i="83"/>
  <c r="W101" i="80"/>
  <c r="AB84" i="83"/>
  <c r="AB72" i="80"/>
  <c r="AB102" i="83"/>
  <c r="AB101" i="80"/>
  <c r="AB112" i="83"/>
  <c r="AB122" i="80"/>
  <c r="AB106" i="83"/>
  <c r="AB105" i="83"/>
  <c r="AB116" i="80"/>
  <c r="AB88" i="83"/>
  <c r="AB76" i="80"/>
  <c r="AB108" i="83"/>
  <c r="AB118" i="80"/>
  <c r="AB95" i="83"/>
  <c r="AB94" i="80"/>
  <c r="L83" i="41"/>
  <c r="AE103" i="41" s="1"/>
  <c r="P84" i="41"/>
  <c r="BB103" i="41" s="1"/>
  <c r="P83" i="41"/>
  <c r="AI103" i="41" s="1"/>
  <c r="L82" i="41"/>
  <c r="L103" i="41" s="1"/>
  <c r="K84" i="41"/>
  <c r="AW103" i="41" s="1"/>
  <c r="K82" i="41"/>
  <c r="K103" i="41" s="1"/>
  <c r="J129" i="74"/>
  <c r="O84" i="41"/>
  <c r="BA103" i="41" s="1"/>
  <c r="L129" i="74"/>
  <c r="V56" i="41"/>
  <c r="O83" i="41"/>
  <c r="AH103" i="41" s="1"/>
  <c r="P82" i="41"/>
  <c r="P103" i="41" s="1"/>
  <c r="O82" i="41"/>
  <c r="O103" i="41" s="1"/>
  <c r="H25" i="83" l="1"/>
  <c r="H20" i="83"/>
  <c r="H54" i="73"/>
  <c r="H55" i="73"/>
  <c r="O43" i="53"/>
  <c r="O49" i="53" s="1"/>
  <c r="P69" i="53"/>
  <c r="P71" i="53"/>
  <c r="P73" i="53" s="1"/>
  <c r="R43" i="53"/>
  <c r="R49" i="53" s="1"/>
  <c r="O69" i="53"/>
  <c r="O71" i="53"/>
  <c r="O73" i="53" s="1"/>
  <c r="R69" i="53"/>
  <c r="R71" i="53"/>
  <c r="R73" i="53" s="1"/>
  <c r="S69" i="53"/>
  <c r="S71" i="53"/>
  <c r="S73" i="53" s="1"/>
  <c r="P44" i="53"/>
  <c r="P50" i="53" s="1"/>
  <c r="S44" i="53"/>
  <c r="S50" i="53" s="1"/>
  <c r="P43" i="53"/>
  <c r="P49" i="53" s="1"/>
  <c r="R42" i="53"/>
  <c r="R48" i="53" s="1"/>
  <c r="R54" i="53" s="1"/>
  <c r="O42" i="53"/>
  <c r="O48" i="53" s="1"/>
  <c r="O54" i="53" s="1"/>
  <c r="R44" i="53"/>
  <c r="R50" i="53" s="1"/>
  <c r="O44" i="53"/>
  <c r="O50" i="53" s="1"/>
  <c r="S43" i="53"/>
  <c r="S49" i="53" s="1"/>
  <c r="S42" i="53"/>
  <c r="S48" i="53" s="1"/>
  <c r="S54" i="53" s="1"/>
  <c r="P42" i="53"/>
  <c r="P48" i="53" s="1"/>
  <c r="P54" i="53" s="1"/>
  <c r="H59" i="73"/>
  <c r="H21" i="83"/>
  <c r="H27" i="83"/>
  <c r="H57" i="73"/>
  <c r="H56" i="73"/>
  <c r="H22" i="83"/>
  <c r="H23" i="83"/>
  <c r="H58" i="73"/>
  <c r="H24" i="83"/>
  <c r="J83" i="73"/>
  <c r="X80" i="73"/>
  <c r="AA85" i="73"/>
  <c r="Y80" i="73"/>
  <c r="P89" i="73"/>
  <c r="AA82" i="73"/>
  <c r="J84" i="73"/>
  <c r="M86" i="73"/>
  <c r="X85" i="73"/>
  <c r="U82" i="73"/>
  <c r="U89" i="73"/>
  <c r="O82" i="73"/>
  <c r="Z84" i="73"/>
  <c r="O83" i="73"/>
  <c r="X82" i="73"/>
  <c r="R86" i="73"/>
  <c r="O88" i="73"/>
  <c r="M89" i="73"/>
  <c r="T82" i="73"/>
  <c r="AB85" i="73"/>
  <c r="S89" i="73"/>
  <c r="P86" i="73"/>
  <c r="T87" i="73"/>
  <c r="V89" i="73"/>
  <c r="P82" i="73"/>
  <c r="AA89" i="73"/>
  <c r="O89" i="73"/>
  <c r="J86" i="73"/>
  <c r="Z82" i="73"/>
  <c r="X89" i="73"/>
  <c r="J89" i="73"/>
  <c r="T81" i="73"/>
  <c r="R87" i="73"/>
  <c r="R82" i="73"/>
  <c r="M83" i="73"/>
  <c r="Z80" i="73"/>
  <c r="U87" i="73"/>
  <c r="O84" i="73"/>
  <c r="AB80" i="73"/>
  <c r="W87" i="73"/>
  <c r="R84" i="73"/>
  <c r="L81" i="73"/>
  <c r="Z87" i="73"/>
  <c r="T84" i="73"/>
  <c r="O81" i="73"/>
  <c r="J88" i="73"/>
  <c r="W84" i="73"/>
  <c r="Q81" i="73"/>
  <c r="L88" i="73"/>
  <c r="Z85" i="73"/>
  <c r="X87" i="73"/>
  <c r="P87" i="73"/>
  <c r="U80" i="73"/>
  <c r="AB87" i="73"/>
  <c r="N81" i="73"/>
  <c r="V82" i="73"/>
  <c r="Q89" i="73"/>
  <c r="L86" i="73"/>
  <c r="Y82" i="73"/>
  <c r="T89" i="73"/>
  <c r="N86" i="73"/>
  <c r="AB82" i="73"/>
  <c r="W89" i="73"/>
  <c r="Q86" i="73"/>
  <c r="K83" i="73"/>
  <c r="Y89" i="73"/>
  <c r="M84" i="73"/>
  <c r="T83" i="73"/>
  <c r="V85" i="73"/>
  <c r="AA86" i="73"/>
  <c r="O86" i="73"/>
  <c r="J80" i="73"/>
  <c r="AB84" i="73"/>
  <c r="K89" i="73"/>
  <c r="Q87" i="73"/>
  <c r="U86" i="73"/>
  <c r="N84" i="73"/>
  <c r="AA80" i="73"/>
  <c r="V87" i="73"/>
  <c r="P84" i="73"/>
  <c r="K81" i="73"/>
  <c r="Y87" i="73"/>
  <c r="S84" i="73"/>
  <c r="M81" i="73"/>
  <c r="AA87" i="73"/>
  <c r="V84" i="73"/>
  <c r="P81" i="73"/>
  <c r="K88" i="73"/>
  <c r="X84" i="73"/>
  <c r="N89" i="73"/>
  <c r="S82" i="73"/>
  <c r="M80" i="73"/>
  <c r="AB83" i="73"/>
  <c r="W82" i="73"/>
  <c r="U84" i="73"/>
  <c r="J42" i="80"/>
  <c r="J202" i="80" s="1"/>
  <c r="S37" i="80"/>
  <c r="AA38" i="80"/>
  <c r="AA132" i="80" s="1"/>
  <c r="Z42" i="80"/>
  <c r="Z113" i="80" s="1"/>
  <c r="P38" i="80"/>
  <c r="J40" i="80"/>
  <c r="R41" i="80"/>
  <c r="P36" i="80"/>
  <c r="T40" i="80"/>
  <c r="X35" i="80"/>
  <c r="Y40" i="80"/>
  <c r="Y111" i="80" s="1"/>
  <c r="J36" i="80"/>
  <c r="N40" i="80"/>
  <c r="N38" i="80"/>
  <c r="AB35" i="80"/>
  <c r="AB129" i="80" s="1"/>
  <c r="W42" i="80"/>
  <c r="W113" i="80" s="1"/>
  <c r="R40" i="80"/>
  <c r="U37" i="80"/>
  <c r="P35" i="80"/>
  <c r="K42" i="80"/>
  <c r="K202" i="80" s="1"/>
  <c r="K206" i="80" s="1"/>
  <c r="Y39" i="80"/>
  <c r="Y87" i="80" s="1"/>
  <c r="U42" i="80"/>
  <c r="Z35" i="80"/>
  <c r="Z106" i="80" s="1"/>
  <c r="W40" i="80"/>
  <c r="W88" i="80" s="1"/>
  <c r="Y42" i="80"/>
  <c r="Y113" i="80" s="1"/>
  <c r="Y38" i="80"/>
  <c r="Q36" i="80"/>
  <c r="Z40" i="80"/>
  <c r="Z111" i="80" s="1"/>
  <c r="V36" i="80"/>
  <c r="N37" i="80"/>
  <c r="W41" i="80"/>
  <c r="W135" i="80" s="1"/>
  <c r="AB36" i="80"/>
  <c r="AB130" i="80" s="1"/>
  <c r="M39" i="80"/>
  <c r="M37" i="80"/>
  <c r="Q41" i="80"/>
  <c r="R37" i="80"/>
  <c r="V41" i="80"/>
  <c r="Z36" i="80"/>
  <c r="AA41" i="80"/>
  <c r="AA112" i="80" s="1"/>
  <c r="AA39" i="80"/>
  <c r="AA110" i="80" s="1"/>
  <c r="V37" i="80"/>
  <c r="Q35" i="80"/>
  <c r="L42" i="80"/>
  <c r="L204" i="80" s="1"/>
  <c r="O39" i="80"/>
  <c r="J37" i="80"/>
  <c r="X34" i="80"/>
  <c r="X105" i="80" s="1"/>
  <c r="S41" i="80"/>
  <c r="AA40" i="80"/>
  <c r="AA88" i="80" s="1"/>
  <c r="M34" i="80"/>
  <c r="J39" i="80"/>
  <c r="AA36" i="80"/>
  <c r="AA84" i="80" s="1"/>
  <c r="L37" i="80"/>
  <c r="O35" i="80"/>
  <c r="X39" i="80"/>
  <c r="X87" i="80" s="1"/>
  <c r="R34" i="80"/>
  <c r="L36" i="80"/>
  <c r="U40" i="80"/>
  <c r="Y37" i="80"/>
  <c r="W34" i="80"/>
  <c r="W128" i="80" s="1"/>
  <c r="T42" i="80"/>
  <c r="T202" i="80" s="1"/>
  <c r="J38" i="80"/>
  <c r="K34" i="80"/>
  <c r="O38" i="80"/>
  <c r="S42" i="80"/>
  <c r="S202" i="80" s="1"/>
  <c r="T38" i="80"/>
  <c r="Z34" i="80"/>
  <c r="U41" i="80"/>
  <c r="P39" i="80"/>
  <c r="K37" i="80"/>
  <c r="N34" i="80"/>
  <c r="AB40" i="80"/>
  <c r="AB88" i="80" s="1"/>
  <c r="W38" i="80"/>
  <c r="W86" i="80" s="1"/>
  <c r="R36" i="80"/>
  <c r="L41" i="80"/>
  <c r="N39" i="80"/>
  <c r="U38" i="80"/>
  <c r="P37" i="80"/>
  <c r="M42" i="80"/>
  <c r="U34" i="80"/>
  <c r="AB37" i="80"/>
  <c r="AB108" i="80" s="1"/>
  <c r="P41" i="80"/>
  <c r="O40" i="80"/>
  <c r="S36" i="80"/>
  <c r="Z39" i="80"/>
  <c r="Z87" i="80" s="1"/>
  <c r="K36" i="80"/>
  <c r="J35" i="80"/>
  <c r="Q38" i="80"/>
  <c r="X41" i="80"/>
  <c r="X89" i="80" s="1"/>
  <c r="R39" i="80"/>
  <c r="V40" i="80"/>
  <c r="O37" i="80"/>
  <c r="AA42" i="80"/>
  <c r="AA204" i="80" s="1"/>
  <c r="T39" i="80"/>
  <c r="M36" i="80"/>
  <c r="Y41" i="80"/>
  <c r="Y112" i="80" s="1"/>
  <c r="R38" i="80"/>
  <c r="K35" i="80"/>
  <c r="O41" i="80"/>
  <c r="AA37" i="80"/>
  <c r="AA85" i="80" s="1"/>
  <c r="T34" i="80"/>
  <c r="M40" i="80"/>
  <c r="Y36" i="80"/>
  <c r="R42" i="80"/>
  <c r="K39" i="80"/>
  <c r="W35" i="80"/>
  <c r="W129" i="80" s="1"/>
  <c r="K41" i="80"/>
  <c r="W37" i="80"/>
  <c r="W85" i="80" s="1"/>
  <c r="P34" i="80"/>
  <c r="AB39" i="80"/>
  <c r="AB133" i="80" s="1"/>
  <c r="U36" i="80"/>
  <c r="N42" i="80"/>
  <c r="Z38" i="80"/>
  <c r="Z132" i="80" s="1"/>
  <c r="S35" i="80"/>
  <c r="Y35" i="80"/>
  <c r="P40" i="80"/>
  <c r="T35" i="80"/>
  <c r="O36" i="80"/>
  <c r="V39" i="80"/>
  <c r="Q34" i="80"/>
  <c r="Y34" i="80"/>
  <c r="Y82" i="80" s="1"/>
  <c r="M38" i="80"/>
  <c r="T41" i="80"/>
  <c r="AB41" i="80"/>
  <c r="AB89" i="80" s="1"/>
  <c r="W36" i="80"/>
  <c r="W130" i="80" s="1"/>
  <c r="K40" i="80"/>
  <c r="N35" i="80"/>
  <c r="P42" i="80"/>
  <c r="P202" i="80" s="1"/>
  <c r="AB38" i="80"/>
  <c r="AB109" i="80" s="1"/>
  <c r="U35" i="80"/>
  <c r="N41" i="80"/>
  <c r="Z37" i="80"/>
  <c r="Z131" i="80" s="1"/>
  <c r="S34" i="80"/>
  <c r="L40" i="80"/>
  <c r="X36" i="80"/>
  <c r="X130" i="80" s="1"/>
  <c r="AB42" i="80"/>
  <c r="AB90" i="80" s="1"/>
  <c r="U39" i="80"/>
  <c r="N36" i="80"/>
  <c r="Z41" i="80"/>
  <c r="Z135" i="80" s="1"/>
  <c r="S38" i="80"/>
  <c r="L35" i="80"/>
  <c r="X40" i="80"/>
  <c r="X88" i="80" s="1"/>
  <c r="Q37" i="80"/>
  <c r="X42" i="80"/>
  <c r="X113" i="80" s="1"/>
  <c r="W90" i="80"/>
  <c r="V38" i="80"/>
  <c r="L34" i="80"/>
  <c r="M41" i="80"/>
  <c r="S39" i="80"/>
  <c r="AB34" i="80"/>
  <c r="AB128" i="80" s="1"/>
  <c r="O42" i="80"/>
  <c r="O202" i="80" s="1"/>
  <c r="K38" i="80"/>
  <c r="V34" i="80"/>
  <c r="W39" i="80"/>
  <c r="W110" i="80" s="1"/>
  <c r="AA34" i="80"/>
  <c r="AA82" i="80" s="1"/>
  <c r="L39" i="80"/>
  <c r="M35" i="80"/>
  <c r="Q39" i="80"/>
  <c r="T36" i="80"/>
  <c r="O34" i="80"/>
  <c r="J41" i="80"/>
  <c r="X38" i="80"/>
  <c r="X86" i="80" s="1"/>
  <c r="AA35" i="80"/>
  <c r="AA106" i="80" s="1"/>
  <c r="V42" i="80"/>
  <c r="V204" i="80" s="1"/>
  <c r="Q40" i="80"/>
  <c r="L38" i="80"/>
  <c r="X37" i="80"/>
  <c r="X131" i="80" s="1"/>
  <c r="T37" i="80"/>
  <c r="Q42" i="80"/>
  <c r="V35" i="80"/>
  <c r="S40" i="80"/>
  <c r="J34" i="80"/>
  <c r="S81" i="73"/>
  <c r="AA84" i="73"/>
  <c r="P88" i="73"/>
  <c r="S87" i="73"/>
  <c r="Q82" i="73"/>
  <c r="Y85" i="73"/>
  <c r="K84" i="73"/>
  <c r="T86" i="73"/>
  <c r="AB89" i="73"/>
  <c r="W81" i="73"/>
  <c r="K85" i="73"/>
  <c r="R88" i="73"/>
  <c r="X81" i="73"/>
  <c r="L85" i="73"/>
  <c r="S88" i="73"/>
  <c r="Y81" i="73"/>
  <c r="M85" i="73"/>
  <c r="T88" i="73"/>
  <c r="AA81" i="73"/>
  <c r="O85" i="73"/>
  <c r="V88" i="73"/>
  <c r="AB81" i="73"/>
  <c r="P85" i="73"/>
  <c r="W88" i="73"/>
  <c r="J82" i="73"/>
  <c r="Q85" i="73"/>
  <c r="X88" i="73"/>
  <c r="L82" i="73"/>
  <c r="S85" i="73"/>
  <c r="Z88" i="73"/>
  <c r="M82" i="73"/>
  <c r="T85" i="73"/>
  <c r="AA88" i="73"/>
  <c r="N82" i="73"/>
  <c r="U85" i="73"/>
  <c r="AB88" i="73"/>
  <c r="Q88" i="73"/>
  <c r="J85" i="73"/>
  <c r="V81" i="73"/>
  <c r="K86" i="73"/>
  <c r="Z89" i="73"/>
  <c r="S86" i="73"/>
  <c r="L83" i="73"/>
  <c r="U88" i="73"/>
  <c r="J81" i="73"/>
  <c r="L87" i="73"/>
  <c r="X83" i="73"/>
  <c r="Q80" i="73"/>
  <c r="N88" i="73"/>
  <c r="U81" i="73"/>
  <c r="W80" i="73"/>
  <c r="W85" i="73"/>
  <c r="L89" i="73"/>
  <c r="V80" i="73"/>
  <c r="L84" i="73"/>
  <c r="N83" i="73"/>
  <c r="V86" i="73"/>
  <c r="Q83" i="73"/>
  <c r="X86" i="73"/>
  <c r="K80" i="73"/>
  <c r="R83" i="73"/>
  <c r="Y86" i="73"/>
  <c r="L80" i="73"/>
  <c r="S83" i="73"/>
  <c r="Z86" i="73"/>
  <c r="N80" i="73"/>
  <c r="U83" i="73"/>
  <c r="AB86" i="73"/>
  <c r="O80" i="73"/>
  <c r="V83" i="73"/>
  <c r="J87" i="73"/>
  <c r="P80" i="73"/>
  <c r="W83" i="73"/>
  <c r="K87" i="73"/>
  <c r="R80" i="73"/>
  <c r="Y83" i="73"/>
  <c r="M87" i="73"/>
  <c r="S80" i="73"/>
  <c r="Z83" i="73"/>
  <c r="N87" i="73"/>
  <c r="T80" i="73"/>
  <c r="AA83" i="73"/>
  <c r="O87" i="73"/>
  <c r="Q84" i="73"/>
  <c r="W86" i="73"/>
  <c r="P83" i="73"/>
  <c r="R89" i="73"/>
  <c r="Z81" i="73"/>
  <c r="M88" i="73"/>
  <c r="Y84" i="73"/>
  <c r="R81" i="73"/>
  <c r="N85" i="73"/>
  <c r="Y88" i="73"/>
  <c r="R85" i="73"/>
  <c r="J55" i="83"/>
  <c r="Q55" i="83"/>
  <c r="N56" i="83"/>
  <c r="K57" i="83"/>
  <c r="AA57" i="83"/>
  <c r="X58" i="83"/>
  <c r="X184" i="83" s="1"/>
  <c r="X55" i="71" s="1"/>
  <c r="U59" i="83"/>
  <c r="U127" i="83" s="1"/>
  <c r="R60" i="83"/>
  <c r="O61" i="83"/>
  <c r="L62" i="83"/>
  <c r="AB62" i="83"/>
  <c r="Y63" i="83"/>
  <c r="Y189" i="83" s="1"/>
  <c r="Y60" i="71" s="1"/>
  <c r="V64" i="83"/>
  <c r="M55" i="83"/>
  <c r="W57" i="83"/>
  <c r="W183" i="83" s="1"/>
  <c r="W54" i="71" s="1"/>
  <c r="N60" i="83"/>
  <c r="X62" i="83"/>
  <c r="U55" i="83"/>
  <c r="U123" i="83" s="1"/>
  <c r="R56" i="83"/>
  <c r="O57" i="83"/>
  <c r="L58" i="83"/>
  <c r="AB58" i="83"/>
  <c r="AB155" i="83" s="1"/>
  <c r="AB25" i="71" s="1"/>
  <c r="Y59" i="83"/>
  <c r="Y214" i="83" s="1"/>
  <c r="Y86" i="71" s="1"/>
  <c r="V60" i="83"/>
  <c r="S61" i="83"/>
  <c r="P62" i="83"/>
  <c r="M63" i="83"/>
  <c r="J64" i="83"/>
  <c r="Z64" i="83"/>
  <c r="Z56" i="83"/>
  <c r="Z211" i="83" s="1"/>
  <c r="Z83" i="71" s="1"/>
  <c r="Q59" i="83"/>
  <c r="AA61" i="83"/>
  <c r="AA129" i="83" s="1"/>
  <c r="R64" i="83"/>
  <c r="Y55" i="83"/>
  <c r="Y123" i="83" s="1"/>
  <c r="V56" i="83"/>
  <c r="V124" i="83" s="1"/>
  <c r="S57" i="83"/>
  <c r="P58" i="83"/>
  <c r="M59" i="83"/>
  <c r="J60" i="83"/>
  <c r="Z60" i="83"/>
  <c r="W61" i="83"/>
  <c r="T62" i="83"/>
  <c r="Q63" i="83"/>
  <c r="N64" i="83"/>
  <c r="J56" i="83"/>
  <c r="T58" i="83"/>
  <c r="T126" i="83" s="1"/>
  <c r="T126" i="72" s="1"/>
  <c r="T196" i="72" s="1"/>
  <c r="T226" i="72" s="1"/>
  <c r="K61" i="83"/>
  <c r="U63" i="83"/>
  <c r="U131" i="83" s="1"/>
  <c r="U64" i="83"/>
  <c r="X63" i="83"/>
  <c r="X131" i="83" s="1"/>
  <c r="AA62" i="83"/>
  <c r="K62" i="83"/>
  <c r="N61" i="83"/>
  <c r="Q60" i="83"/>
  <c r="T59" i="83"/>
  <c r="T127" i="83" s="1"/>
  <c r="T127" i="72" s="1"/>
  <c r="T197" i="72" s="1"/>
  <c r="T227" i="72" s="1"/>
  <c r="W58" i="83"/>
  <c r="W213" i="83" s="1"/>
  <c r="W85" i="71" s="1"/>
  <c r="Z57" i="83"/>
  <c r="J57" i="83"/>
  <c r="M56" i="83"/>
  <c r="P55" i="83"/>
  <c r="T64" i="83"/>
  <c r="W63" i="83"/>
  <c r="W189" i="83" s="1"/>
  <c r="W60" i="71" s="1"/>
  <c r="Z62" i="83"/>
  <c r="J62" i="83"/>
  <c r="M61" i="83"/>
  <c r="P60" i="83"/>
  <c r="S59" i="83"/>
  <c r="V58" i="83"/>
  <c r="V126" i="83" s="1"/>
  <c r="Y57" i="83"/>
  <c r="Y183" i="83" s="1"/>
  <c r="Y54" i="71" s="1"/>
  <c r="AB56" i="83"/>
  <c r="AB124" i="83" s="1"/>
  <c r="L56" i="83"/>
  <c r="O55" i="83"/>
  <c r="S64" i="83"/>
  <c r="V63" i="83"/>
  <c r="V131" i="83" s="1"/>
  <c r="Y62" i="83"/>
  <c r="AB61" i="83"/>
  <c r="AB216" i="83" s="1"/>
  <c r="AB88" i="71" s="1"/>
  <c r="L61" i="83"/>
  <c r="O60" i="83"/>
  <c r="R59" i="83"/>
  <c r="U58" i="83"/>
  <c r="U126" i="83" s="1"/>
  <c r="X57" i="83"/>
  <c r="Q64" i="83"/>
  <c r="T63" i="83"/>
  <c r="T131" i="83" s="1"/>
  <c r="T131" i="72" s="1"/>
  <c r="T201" i="72" s="1"/>
  <c r="T231" i="72" s="1"/>
  <c r="W62" i="83"/>
  <c r="W188" i="83" s="1"/>
  <c r="W59" i="71" s="1"/>
  <c r="Z61" i="83"/>
  <c r="J61" i="83"/>
  <c r="M60" i="83"/>
  <c r="P59" i="83"/>
  <c r="S58" i="83"/>
  <c r="V57" i="83"/>
  <c r="V125" i="83" s="1"/>
  <c r="Y56" i="83"/>
  <c r="Y124" i="83" s="1"/>
  <c r="AB55" i="83"/>
  <c r="AB123" i="83" s="1"/>
  <c r="L55" i="83"/>
  <c r="P64" i="83"/>
  <c r="S63" i="83"/>
  <c r="V62" i="83"/>
  <c r="V130" i="83" s="1"/>
  <c r="Y61" i="83"/>
  <c r="AB60" i="83"/>
  <c r="AB186" i="83" s="1"/>
  <c r="AB57" i="71" s="1"/>
  <c r="L60" i="83"/>
  <c r="O59" i="83"/>
  <c r="M64" i="83"/>
  <c r="P63" i="83"/>
  <c r="S62" i="83"/>
  <c r="V61" i="83"/>
  <c r="V129" i="83" s="1"/>
  <c r="Y60" i="83"/>
  <c r="AB59" i="83"/>
  <c r="AB214" i="83" s="1"/>
  <c r="AB86" i="71" s="1"/>
  <c r="L59" i="83"/>
  <c r="O58" i="83"/>
  <c r="R57" i="83"/>
  <c r="O62" i="83"/>
  <c r="AA58" i="83"/>
  <c r="AA155" i="83" s="1"/>
  <c r="AA25" i="71" s="1"/>
  <c r="Q56" i="83"/>
  <c r="X64" i="83"/>
  <c r="K63" i="83"/>
  <c r="Q61" i="83"/>
  <c r="W59" i="83"/>
  <c r="W185" i="83" s="1"/>
  <c r="W56" i="71" s="1"/>
  <c r="N58" i="83"/>
  <c r="M57" i="83"/>
  <c r="AA55" i="83"/>
  <c r="AA152" i="83" s="1"/>
  <c r="AA64" i="83"/>
  <c r="Z63" i="83"/>
  <c r="Z218" i="83" s="1"/>
  <c r="Z90" i="71" s="1"/>
  <c r="U62" i="83"/>
  <c r="T61" i="83"/>
  <c r="S60" i="83"/>
  <c r="N59" i="83"/>
  <c r="M58" i="83"/>
  <c r="L57" i="83"/>
  <c r="O56" i="83"/>
  <c r="R55" i="83"/>
  <c r="L63" i="83"/>
  <c r="AB64" i="83"/>
  <c r="U61" i="83"/>
  <c r="U129" i="83" s="1"/>
  <c r="R58" i="83"/>
  <c r="K55" i="83"/>
  <c r="J63" i="83"/>
  <c r="Q58" i="83"/>
  <c r="V55" i="83"/>
  <c r="V123" i="83" s="1"/>
  <c r="Y64" i="83"/>
  <c r="Y190" i="83" s="1"/>
  <c r="Y61" i="71" s="1"/>
  <c r="R61" i="83"/>
  <c r="K58" i="83"/>
  <c r="X55" i="83"/>
  <c r="X152" i="83" s="1"/>
  <c r="X22" i="71" s="1"/>
  <c r="X127" i="71" s="1"/>
  <c r="L64" i="83"/>
  <c r="R62" i="83"/>
  <c r="X60" i="83"/>
  <c r="K59" i="83"/>
  <c r="J58" i="83"/>
  <c r="X56" i="83"/>
  <c r="X153" i="83" s="1"/>
  <c r="X23" i="71" s="1"/>
  <c r="W55" i="83"/>
  <c r="W123" i="83" s="1"/>
  <c r="W64" i="83"/>
  <c r="R63" i="83"/>
  <c r="Q62" i="83"/>
  <c r="P61" i="83"/>
  <c r="K60" i="83"/>
  <c r="J59" i="83"/>
  <c r="AB57" i="83"/>
  <c r="AB125" i="83" s="1"/>
  <c r="AA56" i="83"/>
  <c r="AA211" i="83" s="1"/>
  <c r="AA83" i="71" s="1"/>
  <c r="K56" i="83"/>
  <c r="N55" i="83"/>
  <c r="X59" i="83"/>
  <c r="X214" i="83" s="1"/>
  <c r="X86" i="71" s="1"/>
  <c r="O63" i="83"/>
  <c r="AA59" i="83"/>
  <c r="AA156" i="83" s="1"/>
  <c r="AA26" i="71" s="1"/>
  <c r="Q57" i="83"/>
  <c r="K64" i="83"/>
  <c r="X61" i="83"/>
  <c r="X129" i="83" s="1"/>
  <c r="V59" i="83"/>
  <c r="V127" i="83" s="1"/>
  <c r="S56" i="83"/>
  <c r="AB63" i="83"/>
  <c r="AB131" i="83" s="1"/>
  <c r="U60" i="83"/>
  <c r="N57" i="83"/>
  <c r="T55" i="83"/>
  <c r="T123" i="83" s="1"/>
  <c r="AA63" i="83"/>
  <c r="AA218" i="83" s="1"/>
  <c r="AA90" i="71" s="1"/>
  <c r="N62" i="83"/>
  <c r="T60" i="83"/>
  <c r="Z58" i="83"/>
  <c r="Z126" i="83" s="1"/>
  <c r="U57" i="83"/>
  <c r="U125" i="83" s="1"/>
  <c r="T56" i="83"/>
  <c r="T124" i="83" s="1"/>
  <c r="S55" i="83"/>
  <c r="O64" i="83"/>
  <c r="N63" i="83"/>
  <c r="M62" i="83"/>
  <c r="AA60" i="83"/>
  <c r="Z59" i="83"/>
  <c r="Z156" i="83" s="1"/>
  <c r="Z26" i="71" s="1"/>
  <c r="Y58" i="83"/>
  <c r="Y184" i="83" s="1"/>
  <c r="Y55" i="71" s="1"/>
  <c r="T57" i="83"/>
  <c r="T125" i="83" s="1"/>
  <c r="T125" i="72" s="1"/>
  <c r="T195" i="72" s="1"/>
  <c r="T225" i="72" s="1"/>
  <c r="W56" i="83"/>
  <c r="W124" i="83" s="1"/>
  <c r="Z55" i="83"/>
  <c r="Z181" i="83" s="1"/>
  <c r="Z52" i="71" s="1"/>
  <c r="U56" i="83"/>
  <c r="U124" i="83" s="1"/>
  <c r="P56" i="83"/>
  <c r="W60" i="83"/>
  <c r="P57" i="83"/>
  <c r="U93" i="72"/>
  <c r="AB94" i="72"/>
  <c r="AB96" i="72"/>
  <c r="AB161" i="72" s="1"/>
  <c r="AB196" i="72" s="1"/>
  <c r="AB226" i="72" s="1"/>
  <c r="AB98" i="72"/>
  <c r="AB163" i="72" s="1"/>
  <c r="AB198" i="72" s="1"/>
  <c r="AB228" i="72" s="1"/>
  <c r="AB100" i="72"/>
  <c r="AB165" i="72" s="1"/>
  <c r="AB200" i="72" s="1"/>
  <c r="AB230" i="72" s="1"/>
  <c r="AB102" i="72"/>
  <c r="AB167" i="72" s="1"/>
  <c r="AB202" i="72" s="1"/>
  <c r="AB232" i="72" s="1"/>
  <c r="X96" i="72"/>
  <c r="X161" i="72" s="1"/>
  <c r="X196" i="72" s="1"/>
  <c r="X226" i="72" s="1"/>
  <c r="X102" i="72"/>
  <c r="X167" i="72" s="1"/>
  <c r="X202" i="72" s="1"/>
  <c r="X232" i="72" s="1"/>
  <c r="X93" i="72"/>
  <c r="X95" i="72"/>
  <c r="X160" i="72" s="1"/>
  <c r="X195" i="72" s="1"/>
  <c r="X225" i="72" s="1"/>
  <c r="X97" i="72"/>
  <c r="X162" i="72" s="1"/>
  <c r="X197" i="72" s="1"/>
  <c r="X227" i="72" s="1"/>
  <c r="X99" i="72"/>
  <c r="X164" i="72" s="1"/>
  <c r="X199" i="72" s="1"/>
  <c r="X229" i="72" s="1"/>
  <c r="X101" i="72"/>
  <c r="X166" i="72" s="1"/>
  <c r="X201" i="72" s="1"/>
  <c r="X231" i="72" s="1"/>
  <c r="X94" i="72"/>
  <c r="X100" i="72"/>
  <c r="X165" i="72" s="1"/>
  <c r="X200" i="72" s="1"/>
  <c r="X230" i="72" s="1"/>
  <c r="AB93" i="72"/>
  <c r="AB95" i="72"/>
  <c r="AB160" i="72" s="1"/>
  <c r="AB195" i="72" s="1"/>
  <c r="AB225" i="72" s="1"/>
  <c r="AB97" i="72"/>
  <c r="AB99" i="72"/>
  <c r="AB164" i="72" s="1"/>
  <c r="AB199" i="72" s="1"/>
  <c r="AB229" i="72" s="1"/>
  <c r="AB101" i="72"/>
  <c r="AB166" i="72" s="1"/>
  <c r="AB201" i="72" s="1"/>
  <c r="AB231" i="72" s="1"/>
  <c r="X98" i="72"/>
  <c r="X163" i="72" s="1"/>
  <c r="X198" i="72" s="1"/>
  <c r="X228" i="72" s="1"/>
  <c r="AA101" i="72"/>
  <c r="AA166" i="72" s="1"/>
  <c r="AA201" i="72" s="1"/>
  <c r="AA231" i="72" s="1"/>
  <c r="AA99" i="72"/>
  <c r="AA164" i="72" s="1"/>
  <c r="AA199" i="72" s="1"/>
  <c r="AA229" i="72" s="1"/>
  <c r="AA97" i="72"/>
  <c r="AA162" i="72" s="1"/>
  <c r="AA197" i="72" s="1"/>
  <c r="AA227" i="72" s="1"/>
  <c r="AA95" i="72"/>
  <c r="AA160" i="72" s="1"/>
  <c r="AA195" i="72" s="1"/>
  <c r="AA225" i="72" s="1"/>
  <c r="AA93" i="72"/>
  <c r="Z101" i="72"/>
  <c r="Z166" i="72" s="1"/>
  <c r="Z201" i="72" s="1"/>
  <c r="Z231" i="72" s="1"/>
  <c r="Z99" i="72"/>
  <c r="Z164" i="72" s="1"/>
  <c r="Z199" i="72" s="1"/>
  <c r="Z229" i="72" s="1"/>
  <c r="Z97" i="72"/>
  <c r="Z162" i="72" s="1"/>
  <c r="Z197" i="72" s="1"/>
  <c r="Z227" i="72" s="1"/>
  <c r="Z95" i="72"/>
  <c r="Z160" i="72" s="1"/>
  <c r="Z195" i="72" s="1"/>
  <c r="Z225" i="72" s="1"/>
  <c r="Z93" i="72"/>
  <c r="Y101" i="72"/>
  <c r="Y166" i="72" s="1"/>
  <c r="Y201" i="72" s="1"/>
  <c r="Y231" i="72" s="1"/>
  <c r="Y99" i="72"/>
  <c r="Y164" i="72" s="1"/>
  <c r="Y199" i="72" s="1"/>
  <c r="Y229" i="72" s="1"/>
  <c r="Y97" i="72"/>
  <c r="Y162" i="72" s="1"/>
  <c r="Y197" i="72" s="1"/>
  <c r="Y227" i="72" s="1"/>
  <c r="Y95" i="72"/>
  <c r="Y160" i="72" s="1"/>
  <c r="Y195" i="72" s="1"/>
  <c r="Y225" i="72" s="1"/>
  <c r="Y93" i="72"/>
  <c r="W101" i="72"/>
  <c r="W166" i="72" s="1"/>
  <c r="W201" i="72" s="1"/>
  <c r="W231" i="72" s="1"/>
  <c r="W99" i="72"/>
  <c r="W164" i="72" s="1"/>
  <c r="W199" i="72" s="1"/>
  <c r="W229" i="72" s="1"/>
  <c r="W97" i="72"/>
  <c r="W162" i="72" s="1"/>
  <c r="W197" i="72" s="1"/>
  <c r="W227" i="72" s="1"/>
  <c r="W95" i="72"/>
  <c r="W160" i="72" s="1"/>
  <c r="W195" i="72" s="1"/>
  <c r="W225" i="72" s="1"/>
  <c r="W93" i="72"/>
  <c r="V101" i="72"/>
  <c r="V166" i="72" s="1"/>
  <c r="V201" i="72" s="1"/>
  <c r="V231" i="72" s="1"/>
  <c r="V99" i="72"/>
  <c r="V164" i="72" s="1"/>
  <c r="V199" i="72" s="1"/>
  <c r="V229" i="72" s="1"/>
  <c r="V97" i="72"/>
  <c r="V162" i="72" s="1"/>
  <c r="V197" i="72" s="1"/>
  <c r="V227" i="72" s="1"/>
  <c r="V95" i="72"/>
  <c r="V160" i="72" s="1"/>
  <c r="V195" i="72" s="1"/>
  <c r="V225" i="72" s="1"/>
  <c r="V93" i="72"/>
  <c r="U101" i="72"/>
  <c r="U166" i="72" s="1"/>
  <c r="U201" i="72" s="1"/>
  <c r="U231" i="72" s="1"/>
  <c r="U99" i="72"/>
  <c r="U164" i="72" s="1"/>
  <c r="U199" i="72" s="1"/>
  <c r="U229" i="72" s="1"/>
  <c r="U97" i="72"/>
  <c r="U162" i="72" s="1"/>
  <c r="U197" i="72" s="1"/>
  <c r="U227" i="72" s="1"/>
  <c r="U95" i="72"/>
  <c r="U160" i="72" s="1"/>
  <c r="U195" i="72" s="1"/>
  <c r="U225" i="72" s="1"/>
  <c r="AA102" i="72"/>
  <c r="AA167" i="72" s="1"/>
  <c r="AA202" i="72" s="1"/>
  <c r="AA232" i="72" s="1"/>
  <c r="AA100" i="72"/>
  <c r="AA165" i="72" s="1"/>
  <c r="AA200" i="72" s="1"/>
  <c r="AA230" i="72" s="1"/>
  <c r="AA98" i="72"/>
  <c r="AA163" i="72" s="1"/>
  <c r="AA198" i="72" s="1"/>
  <c r="AA228" i="72" s="1"/>
  <c r="AA96" i="72"/>
  <c r="AA161" i="72" s="1"/>
  <c r="AA196" i="72" s="1"/>
  <c r="AA226" i="72" s="1"/>
  <c r="AA94" i="72"/>
  <c r="Z102" i="72"/>
  <c r="Z167" i="72" s="1"/>
  <c r="Z202" i="72" s="1"/>
  <c r="Z232" i="72" s="1"/>
  <c r="Z100" i="72"/>
  <c r="Z165" i="72" s="1"/>
  <c r="Z200" i="72" s="1"/>
  <c r="Z230" i="72" s="1"/>
  <c r="Z98" i="72"/>
  <c r="Z163" i="72" s="1"/>
  <c r="Z198" i="72" s="1"/>
  <c r="Z228" i="72" s="1"/>
  <c r="Z96" i="72"/>
  <c r="Z161" i="72" s="1"/>
  <c r="Z196" i="72" s="1"/>
  <c r="Z226" i="72" s="1"/>
  <c r="Z94" i="72"/>
  <c r="Y102" i="72"/>
  <c r="Y167" i="72" s="1"/>
  <c r="Y202" i="72" s="1"/>
  <c r="Y232" i="72" s="1"/>
  <c r="Y100" i="72"/>
  <c r="Y98" i="72"/>
  <c r="Y163" i="72" s="1"/>
  <c r="Y198" i="72" s="1"/>
  <c r="Y228" i="72" s="1"/>
  <c r="Y96" i="72"/>
  <c r="Y161" i="72" s="1"/>
  <c r="Y196" i="72" s="1"/>
  <c r="Y226" i="72" s="1"/>
  <c r="Y94" i="72"/>
  <c r="W102" i="72"/>
  <c r="W167" i="72" s="1"/>
  <c r="W202" i="72" s="1"/>
  <c r="W232" i="72" s="1"/>
  <c r="W94" i="72"/>
  <c r="V96" i="72"/>
  <c r="V161" i="72" s="1"/>
  <c r="V196" i="72" s="1"/>
  <c r="V226" i="72" s="1"/>
  <c r="U98" i="72"/>
  <c r="U163" i="72" s="1"/>
  <c r="U198" i="72" s="1"/>
  <c r="U228" i="72" s="1"/>
  <c r="V98" i="72"/>
  <c r="V163" i="72" s="1"/>
  <c r="V198" i="72" s="1"/>
  <c r="V228" i="72" s="1"/>
  <c r="W100" i="72"/>
  <c r="W165" i="72" s="1"/>
  <c r="W200" i="72" s="1"/>
  <c r="W230" i="72" s="1"/>
  <c r="V102" i="72"/>
  <c r="V167" i="72" s="1"/>
  <c r="V202" i="72" s="1"/>
  <c r="V232" i="72" s="1"/>
  <c r="V94" i="72"/>
  <c r="U96" i="72"/>
  <c r="U161" i="72" s="1"/>
  <c r="U196" i="72" s="1"/>
  <c r="U226" i="72" s="1"/>
  <c r="W96" i="72"/>
  <c r="W161" i="72" s="1"/>
  <c r="W196" i="72" s="1"/>
  <c r="W226" i="72" s="1"/>
  <c r="U100" i="72"/>
  <c r="U165" i="72" s="1"/>
  <c r="U200" i="72" s="1"/>
  <c r="U230" i="72" s="1"/>
  <c r="W98" i="72"/>
  <c r="W163" i="72" s="1"/>
  <c r="W198" i="72" s="1"/>
  <c r="W228" i="72" s="1"/>
  <c r="V100" i="72"/>
  <c r="V165" i="72" s="1"/>
  <c r="V200" i="72" s="1"/>
  <c r="V230" i="72" s="1"/>
  <c r="U102" i="72"/>
  <c r="U167" i="72" s="1"/>
  <c r="U202" i="72" s="1"/>
  <c r="U232" i="72" s="1"/>
  <c r="U94" i="72"/>
  <c r="X133" i="80"/>
  <c r="X84" i="80"/>
  <c r="X128" i="80"/>
  <c r="X107" i="80"/>
  <c r="P204" i="80"/>
  <c r="M200" i="80"/>
  <c r="M20" i="74" s="1"/>
  <c r="K69" i="53"/>
  <c r="K71" i="53"/>
  <c r="K73" i="53" s="1"/>
  <c r="M44" i="53"/>
  <c r="M50" i="53" s="1"/>
  <c r="M69" i="53"/>
  <c r="J43" i="53"/>
  <c r="J49" i="53" s="1"/>
  <c r="J69" i="53"/>
  <c r="J71" i="53"/>
  <c r="J73" i="53" s="1"/>
  <c r="L69" i="53"/>
  <c r="L71" i="53"/>
  <c r="L73" i="53" s="1"/>
  <c r="T50" i="53"/>
  <c r="T49" i="53"/>
  <c r="T48" i="53"/>
  <c r="T54" i="53" s="1"/>
  <c r="T93" i="53" s="1"/>
  <c r="L43" i="53"/>
  <c r="L49" i="53" s="1"/>
  <c r="K44" i="53"/>
  <c r="K50" i="53" s="1"/>
  <c r="M43" i="53"/>
  <c r="M49" i="53" s="1"/>
  <c r="K43" i="53"/>
  <c r="K49" i="53" s="1"/>
  <c r="L42" i="53"/>
  <c r="L48" i="53" s="1"/>
  <c r="L54" i="53" s="1"/>
  <c r="J42" i="53"/>
  <c r="J48" i="53" s="1"/>
  <c r="J54" i="53" s="1"/>
  <c r="K42" i="53"/>
  <c r="K48" i="53" s="1"/>
  <c r="K54" i="53" s="1"/>
  <c r="L44" i="53"/>
  <c r="L50" i="53" s="1"/>
  <c r="J44" i="53"/>
  <c r="J50" i="53" s="1"/>
  <c r="M42" i="53"/>
  <c r="M48" i="53" s="1"/>
  <c r="Y86" i="80"/>
  <c r="Y84" i="80"/>
  <c r="Y109" i="80"/>
  <c r="AB111" i="80"/>
  <c r="Y108" i="80"/>
  <c r="Y129" i="80"/>
  <c r="Y83" i="80"/>
  <c r="AB82" i="80"/>
  <c r="Y130" i="80"/>
  <c r="AB105" i="80"/>
  <c r="Y85" i="80"/>
  <c r="Y106" i="80"/>
  <c r="Y132" i="80"/>
  <c r="Y131" i="80"/>
  <c r="Y107" i="80"/>
  <c r="J20" i="74"/>
  <c r="X83" i="80"/>
  <c r="X129" i="80"/>
  <c r="Z107" i="80"/>
  <c r="Z130" i="80"/>
  <c r="Z84" i="80"/>
  <c r="U202" i="80"/>
  <c r="U204" i="80"/>
  <c r="AA83" i="80"/>
  <c r="X110" i="80"/>
  <c r="X108" i="80"/>
  <c r="Z112" i="80"/>
  <c r="Z82" i="80"/>
  <c r="Z105" i="80"/>
  <c r="Z128" i="80"/>
  <c r="Z89" i="80"/>
  <c r="X82" i="80"/>
  <c r="AA128" i="80"/>
  <c r="AA105" i="80"/>
  <c r="X106" i="80"/>
  <c r="Q20" i="31"/>
  <c r="P21" i="31"/>
  <c r="AA127" i="83"/>
  <c r="AA185" i="83"/>
  <c r="AA56" i="71" s="1"/>
  <c r="W216" i="83"/>
  <c r="W88" i="71" s="1"/>
  <c r="AA183" i="83"/>
  <c r="AA54" i="71" s="1"/>
  <c r="X212" i="83"/>
  <c r="X84" i="71" s="1"/>
  <c r="Y125" i="83"/>
  <c r="AA154" i="83"/>
  <c r="AA24" i="71" s="1"/>
  <c r="X154" i="83"/>
  <c r="X24" i="71" s="1"/>
  <c r="X125" i="83"/>
  <c r="Z212" i="83"/>
  <c r="Z84" i="71" s="1"/>
  <c r="AA212" i="83"/>
  <c r="AA84" i="71" s="1"/>
  <c r="Z125" i="83"/>
  <c r="Z154" i="83"/>
  <c r="Z24" i="71" s="1"/>
  <c r="AA125" i="83"/>
  <c r="Y165" i="72"/>
  <c r="Y200" i="72" s="1"/>
  <c r="Y230" i="72" s="1"/>
  <c r="X183" i="83"/>
  <c r="X54" i="71" s="1"/>
  <c r="Y212" i="83"/>
  <c r="Y84" i="71" s="1"/>
  <c r="Y154" i="83"/>
  <c r="Y24" i="71" s="1"/>
  <c r="AB162" i="72"/>
  <c r="AB197" i="72" s="1"/>
  <c r="AB227" i="72" s="1"/>
  <c r="Z160" i="83"/>
  <c r="Z30" i="71" s="1"/>
  <c r="Z189" i="83"/>
  <c r="Z60" i="71" s="1"/>
  <c r="Z183" i="83"/>
  <c r="Z54" i="71" s="1"/>
  <c r="M202" i="80"/>
  <c r="M206" i="80" s="1"/>
  <c r="M255" i="80"/>
  <c r="M259" i="80"/>
  <c r="M258" i="80"/>
  <c r="M257" i="80"/>
  <c r="M253" i="80"/>
  <c r="M254" i="80"/>
  <c r="M252" i="80"/>
  <c r="M256" i="80"/>
  <c r="V74" i="74"/>
  <c r="V78" i="74"/>
  <c r="V77" i="74"/>
  <c r="V73" i="74"/>
  <c r="V76" i="74"/>
  <c r="V75" i="74"/>
  <c r="V72" i="74"/>
  <c r="L132" i="74"/>
  <c r="L133" i="74"/>
  <c r="J132" i="74"/>
  <c r="J133" i="74"/>
  <c r="V55" i="41"/>
  <c r="AA157" i="83" l="1"/>
  <c r="AA27" i="71" s="1"/>
  <c r="Z187" i="83"/>
  <c r="Z58" i="71" s="1"/>
  <c r="X130" i="83"/>
  <c r="Y159" i="83"/>
  <c r="Y29" i="71" s="1"/>
  <c r="Z217" i="83"/>
  <c r="Z89" i="71" s="1"/>
  <c r="AA217" i="83"/>
  <c r="AA89" i="71" s="1"/>
  <c r="AA194" i="71" s="1"/>
  <c r="AB217" i="83"/>
  <c r="AB89" i="71" s="1"/>
  <c r="AB194" i="71" s="1"/>
  <c r="U130" i="83"/>
  <c r="T130" i="83"/>
  <c r="T130" i="72" s="1"/>
  <c r="T200" i="72" s="1"/>
  <c r="T230" i="72" s="1"/>
  <c r="X159" i="83"/>
  <c r="X29" i="71" s="1"/>
  <c r="X134" i="71" s="1"/>
  <c r="W129" i="83"/>
  <c r="X217" i="83"/>
  <c r="X89" i="71" s="1"/>
  <c r="W187" i="83"/>
  <c r="W58" i="71" s="1"/>
  <c r="X188" i="83"/>
  <c r="X59" i="71" s="1"/>
  <c r="X164" i="71" s="1"/>
  <c r="AB83" i="80"/>
  <c r="Y132" i="83"/>
  <c r="AA186" i="83"/>
  <c r="AA57" i="71" s="1"/>
  <c r="AA162" i="71" s="1"/>
  <c r="W132" i="83"/>
  <c r="Z85" i="80"/>
  <c r="AA109" i="80"/>
  <c r="W160" i="83"/>
  <c r="W30" i="71" s="1"/>
  <c r="W135" i="71" s="1"/>
  <c r="Y135" i="80"/>
  <c r="T128" i="83"/>
  <c r="T128" i="72" s="1"/>
  <c r="T198" i="72" s="1"/>
  <c r="T228" i="72" s="1"/>
  <c r="U132" i="83"/>
  <c r="AA134" i="80"/>
  <c r="X218" i="83"/>
  <c r="X90" i="71" s="1"/>
  <c r="X195" i="71" s="1"/>
  <c r="X155" i="83"/>
  <c r="X25" i="71" s="1"/>
  <c r="X130" i="71" s="1"/>
  <c r="AB213" i="83"/>
  <c r="AB85" i="71" s="1"/>
  <c r="AB190" i="71" s="1"/>
  <c r="AB204" i="80"/>
  <c r="W108" i="80"/>
  <c r="AB132" i="80"/>
  <c r="AB135" i="80"/>
  <c r="Z132" i="83"/>
  <c r="AB126" i="83"/>
  <c r="AA130" i="80"/>
  <c r="AA135" i="80"/>
  <c r="AB134" i="80"/>
  <c r="AB148" i="80" s="1"/>
  <c r="AB174" i="80" s="1"/>
  <c r="AA128" i="83"/>
  <c r="T132" i="83"/>
  <c r="T132" i="72" s="1"/>
  <c r="T202" i="72" s="1"/>
  <c r="T232" i="72" s="1"/>
  <c r="X161" i="83"/>
  <c r="X31" i="71" s="1"/>
  <c r="X136" i="71" s="1"/>
  <c r="Y161" i="83"/>
  <c r="Y31" i="71" s="1"/>
  <c r="Y136" i="71" s="1"/>
  <c r="Z161" i="83"/>
  <c r="Z31" i="71" s="1"/>
  <c r="Z136" i="71" s="1"/>
  <c r="Z219" i="83"/>
  <c r="Z91" i="71" s="1"/>
  <c r="Z196" i="71" s="1"/>
  <c r="X215" i="83"/>
  <c r="X87" i="71" s="1"/>
  <c r="X192" i="71" s="1"/>
  <c r="AA161" i="83"/>
  <c r="AA31" i="71" s="1"/>
  <c r="AA136" i="71" s="1"/>
  <c r="Z133" i="80"/>
  <c r="AA90" i="80"/>
  <c r="AA133" i="80"/>
  <c r="W132" i="80"/>
  <c r="W158" i="83"/>
  <c r="W28" i="71" s="1"/>
  <c r="W133" i="71" s="1"/>
  <c r="Z129" i="83"/>
  <c r="W126" i="83"/>
  <c r="Y216" i="83"/>
  <c r="Y88" i="71" s="1"/>
  <c r="Y193" i="71" s="1"/>
  <c r="T129" i="83"/>
  <c r="T129" i="72" s="1"/>
  <c r="T199" i="72" s="1"/>
  <c r="T229" i="72" s="1"/>
  <c r="Z216" i="83"/>
  <c r="Z88" i="71" s="1"/>
  <c r="Z193" i="71" s="1"/>
  <c r="W152" i="83"/>
  <c r="W22" i="71" s="1"/>
  <c r="W127" i="71" s="1"/>
  <c r="W128" i="83"/>
  <c r="V132" i="83"/>
  <c r="AB187" i="83"/>
  <c r="AB58" i="71" s="1"/>
  <c r="AB163" i="71" s="1"/>
  <c r="Y187" i="83"/>
  <c r="Y58" i="71" s="1"/>
  <c r="Y163" i="71" s="1"/>
  <c r="Z158" i="83"/>
  <c r="Z28" i="71" s="1"/>
  <c r="Z133" i="71" s="1"/>
  <c r="AA182" i="83"/>
  <c r="AA53" i="71" s="1"/>
  <c r="AA158" i="71" s="1"/>
  <c r="AB181" i="83"/>
  <c r="AB52" i="71" s="1"/>
  <c r="AB157" i="71" s="1"/>
  <c r="Y158" i="83"/>
  <c r="Y28" i="71" s="1"/>
  <c r="Y133" i="71" s="1"/>
  <c r="S77" i="53"/>
  <c r="S83" i="53" s="1"/>
  <c r="P77" i="53"/>
  <c r="P83" i="53" s="1"/>
  <c r="R79" i="53"/>
  <c r="R85" i="53" s="1"/>
  <c r="O79" i="53"/>
  <c r="O85" i="53" s="1"/>
  <c r="P79" i="53"/>
  <c r="P85" i="53" s="1"/>
  <c r="S79" i="53"/>
  <c r="S85" i="53" s="1"/>
  <c r="O77" i="53"/>
  <c r="O83" i="53" s="1"/>
  <c r="R77" i="53"/>
  <c r="R83" i="53" s="1"/>
  <c r="Z190" i="83"/>
  <c r="Z61" i="71" s="1"/>
  <c r="Z166" i="71" s="1"/>
  <c r="Y128" i="83"/>
  <c r="X219" i="83"/>
  <c r="X91" i="71" s="1"/>
  <c r="X196" i="71" s="1"/>
  <c r="X132" i="83"/>
  <c r="W186" i="83"/>
  <c r="W57" i="71" s="1"/>
  <c r="W162" i="71" s="1"/>
  <c r="AA215" i="83"/>
  <c r="AA87" i="71" s="1"/>
  <c r="AA192" i="71" s="1"/>
  <c r="W190" i="83"/>
  <c r="W61" i="71" s="1"/>
  <c r="W166" i="71" s="1"/>
  <c r="X190" i="83"/>
  <c r="X61" i="71" s="1"/>
  <c r="X166" i="71" s="1"/>
  <c r="Y186" i="83"/>
  <c r="Y57" i="71" s="1"/>
  <c r="Y162" i="71" s="1"/>
  <c r="U128" i="83"/>
  <c r="X186" i="83"/>
  <c r="X57" i="71" s="1"/>
  <c r="X162" i="71" s="1"/>
  <c r="AA132" i="83"/>
  <c r="Z157" i="83"/>
  <c r="Z27" i="71" s="1"/>
  <c r="Z132" i="71" s="1"/>
  <c r="V128" i="83"/>
  <c r="AB132" i="83"/>
  <c r="X128" i="83"/>
  <c r="Y218" i="83"/>
  <c r="Y90" i="71" s="1"/>
  <c r="Y195" i="71" s="1"/>
  <c r="AA190" i="83"/>
  <c r="AA61" i="71" s="1"/>
  <c r="AA166" i="71" s="1"/>
  <c r="Y131" i="83"/>
  <c r="X158" i="83"/>
  <c r="X28" i="71" s="1"/>
  <c r="X133" i="71" s="1"/>
  <c r="Z186" i="83"/>
  <c r="Z57" i="71" s="1"/>
  <c r="Z162" i="71" s="1"/>
  <c r="X216" i="83"/>
  <c r="X88" i="71" s="1"/>
  <c r="X193" i="71" s="1"/>
  <c r="AB152" i="83"/>
  <c r="AB22" i="71" s="1"/>
  <c r="AB127" i="71" s="1"/>
  <c r="X187" i="83"/>
  <c r="X58" i="71" s="1"/>
  <c r="X163" i="71" s="1"/>
  <c r="AA158" i="83"/>
  <c r="AA28" i="71" s="1"/>
  <c r="AA133" i="71" s="1"/>
  <c r="AA187" i="83"/>
  <c r="AA58" i="71" s="1"/>
  <c r="AA163" i="71" s="1"/>
  <c r="X157" i="83"/>
  <c r="X27" i="71" s="1"/>
  <c r="X132" i="71" s="1"/>
  <c r="W217" i="83"/>
  <c r="W89" i="71" s="1"/>
  <c r="W194" i="71" s="1"/>
  <c r="P206" i="80"/>
  <c r="W214" i="83"/>
  <c r="W86" i="71" s="1"/>
  <c r="W191" i="71" s="1"/>
  <c r="AB129" i="83"/>
  <c r="W184" i="83"/>
  <c r="W55" i="71" s="1"/>
  <c r="W160" i="71" s="1"/>
  <c r="AA153" i="83"/>
  <c r="AA23" i="71" s="1"/>
  <c r="AA128" i="71" s="1"/>
  <c r="W181" i="83"/>
  <c r="W52" i="71" s="1"/>
  <c r="W157" i="71" s="1"/>
  <c r="Z215" i="83"/>
  <c r="Z87" i="71" s="1"/>
  <c r="Z192" i="71" s="1"/>
  <c r="W130" i="83"/>
  <c r="AB158" i="83"/>
  <c r="AB28" i="71" s="1"/>
  <c r="AB133" i="71" s="1"/>
  <c r="AA219" i="83"/>
  <c r="AA91" i="71" s="1"/>
  <c r="AA196" i="71" s="1"/>
  <c r="W155" i="83"/>
  <c r="W25" i="71" s="1"/>
  <c r="W130" i="71" s="1"/>
  <c r="W127" i="83"/>
  <c r="W159" i="83"/>
  <c r="W29" i="71" s="1"/>
  <c r="W134" i="71" s="1"/>
  <c r="AA124" i="83"/>
  <c r="Y160" i="83"/>
  <c r="Y30" i="71" s="1"/>
  <c r="Y135" i="71" s="1"/>
  <c r="W156" i="83"/>
  <c r="W26" i="71" s="1"/>
  <c r="W131" i="71" s="1"/>
  <c r="W210" i="83"/>
  <c r="W82" i="71" s="1"/>
  <c r="W187" i="71" s="1"/>
  <c r="Z128" i="83"/>
  <c r="AA216" i="83"/>
  <c r="AA88" i="71" s="1"/>
  <c r="AA193" i="71" s="1"/>
  <c r="AB210" i="83"/>
  <c r="AB82" i="71" s="1"/>
  <c r="AB187" i="71" s="1"/>
  <c r="AA188" i="83"/>
  <c r="AA59" i="71" s="1"/>
  <c r="AA164" i="71" s="1"/>
  <c r="X156" i="83"/>
  <c r="X26" i="71" s="1"/>
  <c r="X131" i="71" s="1"/>
  <c r="AA184" i="83"/>
  <c r="AA55" i="71" s="1"/>
  <c r="AA160" i="71" s="1"/>
  <c r="AA131" i="80"/>
  <c r="X136" i="80"/>
  <c r="AB202" i="80"/>
  <c r="AA210" i="83"/>
  <c r="AA82" i="71" s="1"/>
  <c r="AA187" i="71" s="1"/>
  <c r="Z159" i="83"/>
  <c r="Z29" i="71" s="1"/>
  <c r="Z134" i="71" s="1"/>
  <c r="AB106" i="80"/>
  <c r="Y134" i="80"/>
  <c r="R202" i="80"/>
  <c r="Z130" i="83"/>
  <c r="Y213" i="83"/>
  <c r="Y85" i="71" s="1"/>
  <c r="Y190" i="71" s="1"/>
  <c r="Y217" i="83"/>
  <c r="Y89" i="71" s="1"/>
  <c r="Y194" i="71" s="1"/>
  <c r="AA89" i="80"/>
  <c r="AA86" i="80"/>
  <c r="AA146" i="80" s="1"/>
  <c r="AA172" i="80" s="1"/>
  <c r="W131" i="80"/>
  <c r="Z108" i="80"/>
  <c r="AB112" i="80"/>
  <c r="W105" i="80"/>
  <c r="AA108" i="80"/>
  <c r="X202" i="80"/>
  <c r="AA107" i="80"/>
  <c r="AA144" i="80" s="1"/>
  <c r="AA170" i="80" s="1"/>
  <c r="Z129" i="80"/>
  <c r="V202" i="80"/>
  <c r="V206" i="80" s="1"/>
  <c r="W89" i="80"/>
  <c r="W112" i="80"/>
  <c r="Y89" i="80"/>
  <c r="Y88" i="80"/>
  <c r="L202" i="80"/>
  <c r="L206" i="80" s="1"/>
  <c r="AB136" i="80"/>
  <c r="AB113" i="80"/>
  <c r="AA189" i="83"/>
  <c r="AA60" i="71" s="1"/>
  <c r="AA165" i="71" s="1"/>
  <c r="AA160" i="83"/>
  <c r="AA30" i="71" s="1"/>
  <c r="AA135" i="71" s="1"/>
  <c r="AB212" i="83"/>
  <c r="AB84" i="71" s="1"/>
  <c r="AB189" i="71" s="1"/>
  <c r="W157" i="83"/>
  <c r="W27" i="71" s="1"/>
  <c r="W132" i="71" s="1"/>
  <c r="X90" i="80"/>
  <c r="X204" i="80"/>
  <c r="Z83" i="80"/>
  <c r="Y156" i="83"/>
  <c r="Y26" i="71" s="1"/>
  <c r="Y131" i="71" s="1"/>
  <c r="AB159" i="83"/>
  <c r="AB29" i="71" s="1"/>
  <c r="AB134" i="71" s="1"/>
  <c r="Y211" i="83"/>
  <c r="Y83" i="71" s="1"/>
  <c r="Y188" i="71" s="1"/>
  <c r="W82" i="80"/>
  <c r="Y130" i="83"/>
  <c r="AB189" i="83"/>
  <c r="AB60" i="71" s="1"/>
  <c r="AB165" i="71" s="1"/>
  <c r="AB188" i="83"/>
  <c r="AB59" i="71" s="1"/>
  <c r="AB164" i="71" s="1"/>
  <c r="Y182" i="83"/>
  <c r="Y53" i="71" s="1"/>
  <c r="Y158" i="71" s="1"/>
  <c r="Y133" i="80"/>
  <c r="W154" i="83"/>
  <c r="W24" i="71" s="1"/>
  <c r="W129" i="71" s="1"/>
  <c r="Y185" i="83"/>
  <c r="Y56" i="71" s="1"/>
  <c r="Y161" i="71" s="1"/>
  <c r="AB183" i="83"/>
  <c r="AB54" i="71" s="1"/>
  <c r="AB159" i="71" s="1"/>
  <c r="X185" i="83"/>
  <c r="X56" i="71" s="1"/>
  <c r="X161" i="71" s="1"/>
  <c r="Y127" i="83"/>
  <c r="Y126" i="83"/>
  <c r="Y155" i="83"/>
  <c r="Y25" i="71" s="1"/>
  <c r="Y130" i="71" s="1"/>
  <c r="AA123" i="83"/>
  <c r="AB160" i="83"/>
  <c r="AB30" i="71" s="1"/>
  <c r="AB135" i="71" s="1"/>
  <c r="X127" i="83"/>
  <c r="AA126" i="83"/>
  <c r="Y188" i="83"/>
  <c r="Y59" i="71" s="1"/>
  <c r="Y164" i="71" s="1"/>
  <c r="X124" i="83"/>
  <c r="AA181" i="83"/>
  <c r="AA52" i="71" s="1"/>
  <c r="AA157" i="71" s="1"/>
  <c r="AB218" i="83"/>
  <c r="AB90" i="71" s="1"/>
  <c r="AB195" i="71" s="1"/>
  <c r="Y153" i="83"/>
  <c r="Y23" i="71" s="1"/>
  <c r="Y128" i="71" s="1"/>
  <c r="AA213" i="83"/>
  <c r="AA85" i="71" s="1"/>
  <c r="AA190" i="71" s="1"/>
  <c r="W212" i="83"/>
  <c r="W84" i="71" s="1"/>
  <c r="W189" i="71" s="1"/>
  <c r="AB154" i="83"/>
  <c r="AB24" i="71" s="1"/>
  <c r="AB129" i="71" s="1"/>
  <c r="X211" i="83"/>
  <c r="X83" i="71" s="1"/>
  <c r="X188" i="71" s="1"/>
  <c r="Y204" i="80"/>
  <c r="AB190" i="83"/>
  <c r="AB61" i="71" s="1"/>
  <c r="AB166" i="71" s="1"/>
  <c r="AA159" i="83"/>
  <c r="AA29" i="71" s="1"/>
  <c r="AA134" i="71" s="1"/>
  <c r="AB219" i="83"/>
  <c r="AB91" i="71" s="1"/>
  <c r="AB196" i="71" s="1"/>
  <c r="W125" i="83"/>
  <c r="AB161" i="83"/>
  <c r="AB31" i="71" s="1"/>
  <c r="AB136" i="71" s="1"/>
  <c r="Y136" i="80"/>
  <c r="Z188" i="83"/>
  <c r="Z59" i="71" s="1"/>
  <c r="Z164" i="71" s="1"/>
  <c r="AA130" i="83"/>
  <c r="AB130" i="83"/>
  <c r="AA131" i="83"/>
  <c r="X182" i="83"/>
  <c r="X53" i="71" s="1"/>
  <c r="X158" i="71" s="1"/>
  <c r="Y110" i="80"/>
  <c r="J204" i="80"/>
  <c r="J206" i="80" s="1"/>
  <c r="W106" i="80"/>
  <c r="Y90" i="80"/>
  <c r="AB110" i="80"/>
  <c r="W83" i="80"/>
  <c r="X111" i="80"/>
  <c r="AB157" i="83"/>
  <c r="AB27" i="71" s="1"/>
  <c r="AB132" i="71" s="1"/>
  <c r="Z152" i="83"/>
  <c r="Z22" i="71" s="1"/>
  <c r="Z127" i="71" s="1"/>
  <c r="W218" i="83"/>
  <c r="W90" i="71" s="1"/>
  <c r="W195" i="71" s="1"/>
  <c r="X189" i="83"/>
  <c r="X60" i="71" s="1"/>
  <c r="X165" i="71" s="1"/>
  <c r="W131" i="83"/>
  <c r="AB185" i="83"/>
  <c r="AB56" i="71" s="1"/>
  <c r="AB161" i="71" s="1"/>
  <c r="AB127" i="83"/>
  <c r="Z155" i="83"/>
  <c r="Z25" i="71" s="1"/>
  <c r="Z130" i="71" s="1"/>
  <c r="Z184" i="83"/>
  <c r="Z55" i="71" s="1"/>
  <c r="Z160" i="71" s="1"/>
  <c r="X126" i="83"/>
  <c r="Z153" i="83"/>
  <c r="Z23" i="71" s="1"/>
  <c r="Z128" i="71" s="1"/>
  <c r="Z123" i="83"/>
  <c r="AB182" i="83"/>
  <c r="AB53" i="71" s="1"/>
  <c r="AB158" i="71" s="1"/>
  <c r="W87" i="80"/>
  <c r="AB87" i="80"/>
  <c r="W133" i="80"/>
  <c r="X132" i="80"/>
  <c r="X134" i="80"/>
  <c r="AB128" i="83"/>
  <c r="AB184" i="83"/>
  <c r="AB55" i="71" s="1"/>
  <c r="AB160" i="71" s="1"/>
  <c r="AB156" i="83"/>
  <c r="AB26" i="71" s="1"/>
  <c r="AB131" i="71" s="1"/>
  <c r="X160" i="83"/>
  <c r="X30" i="71" s="1"/>
  <c r="X135" i="71" s="1"/>
  <c r="Z185" i="83"/>
  <c r="Z56" i="71" s="1"/>
  <c r="Z161" i="71" s="1"/>
  <c r="Y219" i="83"/>
  <c r="Y91" i="71" s="1"/>
  <c r="Y196" i="71" s="1"/>
  <c r="Z127" i="83"/>
  <c r="Z182" i="83"/>
  <c r="Z53" i="71" s="1"/>
  <c r="Z158" i="71" s="1"/>
  <c r="Y202" i="80"/>
  <c r="X109" i="80"/>
  <c r="Z131" i="83"/>
  <c r="Y129" i="83"/>
  <c r="AA214" i="83"/>
  <c r="AA86" i="71" s="1"/>
  <c r="AA191" i="71" s="1"/>
  <c r="Y157" i="83"/>
  <c r="Y27" i="71" s="1"/>
  <c r="Y132" i="71" s="1"/>
  <c r="Y215" i="83"/>
  <c r="Y87" i="71" s="1"/>
  <c r="Y192" i="71" s="1"/>
  <c r="W215" i="83"/>
  <c r="W87" i="71" s="1"/>
  <c r="W192" i="71" s="1"/>
  <c r="Z90" i="80"/>
  <c r="Z136" i="80"/>
  <c r="AA111" i="80"/>
  <c r="AA113" i="80"/>
  <c r="X210" i="83"/>
  <c r="X82" i="71" s="1"/>
  <c r="X187" i="71" s="1"/>
  <c r="T204" i="80"/>
  <c r="T206" i="80" s="1"/>
  <c r="X181" i="83"/>
  <c r="X52" i="71" s="1"/>
  <c r="X157" i="71" s="1"/>
  <c r="AB84" i="80"/>
  <c r="AB86" i="80"/>
  <c r="W84" i="80"/>
  <c r="W153" i="83"/>
  <c r="W23" i="71" s="1"/>
  <c r="W128" i="71" s="1"/>
  <c r="W161" i="83"/>
  <c r="W31" i="71" s="1"/>
  <c r="W136" i="71" s="1"/>
  <c r="X123" i="83"/>
  <c r="W182" i="83"/>
  <c r="W53" i="71" s="1"/>
  <c r="W158" i="71" s="1"/>
  <c r="W219" i="83"/>
  <c r="W91" i="71" s="1"/>
  <c r="W196" i="71" s="1"/>
  <c r="Z86" i="80"/>
  <c r="AA202" i="80"/>
  <c r="AA206" i="80" s="1"/>
  <c r="W211" i="83"/>
  <c r="W83" i="71" s="1"/>
  <c r="W188" i="71" s="1"/>
  <c r="Y152" i="83"/>
  <c r="Y22" i="71" s="1"/>
  <c r="Y127" i="71" s="1"/>
  <c r="Z88" i="80"/>
  <c r="AB107" i="80"/>
  <c r="Z134" i="80"/>
  <c r="Z109" i="80"/>
  <c r="W111" i="80"/>
  <c r="W107" i="80"/>
  <c r="W109" i="80"/>
  <c r="W136" i="80"/>
  <c r="W150" i="80" s="1"/>
  <c r="W176" i="80" s="1"/>
  <c r="S204" i="80"/>
  <c r="S206" i="80" s="1"/>
  <c r="Z214" i="83"/>
  <c r="Z86" i="71" s="1"/>
  <c r="Z191" i="71" s="1"/>
  <c r="X213" i="83"/>
  <c r="X85" i="71" s="1"/>
  <c r="X190" i="71" s="1"/>
  <c r="Z213" i="83"/>
  <c r="Z85" i="71" s="1"/>
  <c r="Z190" i="71" s="1"/>
  <c r="AB215" i="83"/>
  <c r="AB87" i="71" s="1"/>
  <c r="AB192" i="71" s="1"/>
  <c r="Z110" i="80"/>
  <c r="Z147" i="80" s="1"/>
  <c r="Z173" i="80" s="1"/>
  <c r="Z124" i="83"/>
  <c r="Z202" i="80"/>
  <c r="Z210" i="83"/>
  <c r="Z82" i="71" s="1"/>
  <c r="Z187" i="71" s="1"/>
  <c r="W202" i="80"/>
  <c r="AA136" i="80"/>
  <c r="AA129" i="80"/>
  <c r="AA143" i="80" s="1"/>
  <c r="AA169" i="80" s="1"/>
  <c r="AA87" i="80"/>
  <c r="Y181" i="83"/>
  <c r="Y52" i="71" s="1"/>
  <c r="Y157" i="71" s="1"/>
  <c r="AB211" i="83"/>
  <c r="AB83" i="71" s="1"/>
  <c r="AB188" i="71" s="1"/>
  <c r="AB131" i="80"/>
  <c r="AB85" i="80"/>
  <c r="Y128" i="80"/>
  <c r="W134" i="80"/>
  <c r="Y210" i="83"/>
  <c r="Y82" i="71" s="1"/>
  <c r="Y187" i="71" s="1"/>
  <c r="X112" i="80"/>
  <c r="R204" i="80"/>
  <c r="Z204" i="80"/>
  <c r="W204" i="80"/>
  <c r="AB153" i="83"/>
  <c r="AB23" i="71" s="1"/>
  <c r="AB128" i="71" s="1"/>
  <c r="O204" i="80"/>
  <c r="O206" i="80" s="1"/>
  <c r="Y105" i="80"/>
  <c r="X85" i="80"/>
  <c r="X145" i="80" s="1"/>
  <c r="X171" i="80" s="1"/>
  <c r="X135" i="80"/>
  <c r="X147" i="80"/>
  <c r="X173" i="80" s="1"/>
  <c r="X144" i="80"/>
  <c r="X170" i="80" s="1"/>
  <c r="X142" i="80"/>
  <c r="X168" i="80" s="1"/>
  <c r="K77" i="53"/>
  <c r="K83" i="53" s="1"/>
  <c r="L77" i="53"/>
  <c r="L83" i="53" s="1"/>
  <c r="M77" i="53"/>
  <c r="M83" i="53" s="1"/>
  <c r="J77" i="53"/>
  <c r="J83" i="53" s="1"/>
  <c r="M79" i="53"/>
  <c r="M85" i="53" s="1"/>
  <c r="L79" i="53"/>
  <c r="L85" i="53" s="1"/>
  <c r="K79" i="53"/>
  <c r="K85" i="53" s="1"/>
  <c r="J79" i="53"/>
  <c r="J85" i="53" s="1"/>
  <c r="AB142" i="80"/>
  <c r="AB168" i="80" s="1"/>
  <c r="Y146" i="80"/>
  <c r="Y172" i="80" s="1"/>
  <c r="Y145" i="80"/>
  <c r="Y171" i="80" s="1"/>
  <c r="Y144" i="80"/>
  <c r="Y170" i="80" s="1"/>
  <c r="Y143" i="80"/>
  <c r="Y169" i="80" s="1"/>
  <c r="M54" i="53"/>
  <c r="X143" i="80"/>
  <c r="X169" i="80" s="1"/>
  <c r="Z144" i="80"/>
  <c r="Z170" i="80" s="1"/>
  <c r="Z149" i="80"/>
  <c r="Z175" i="80" s="1"/>
  <c r="Z142" i="80"/>
  <c r="Z168" i="80" s="1"/>
  <c r="AA142" i="80"/>
  <c r="AA168" i="80" s="1"/>
  <c r="AA22" i="71"/>
  <c r="AA127" i="71" s="1"/>
  <c r="U206" i="80"/>
  <c r="Q21" i="31"/>
  <c r="Q23" i="31" s="1"/>
  <c r="R20" i="31"/>
  <c r="V99" i="105"/>
  <c r="V109" i="105"/>
  <c r="Z195" i="71"/>
  <c r="W165" i="71"/>
  <c r="X191" i="71"/>
  <c r="Z165" i="71"/>
  <c r="AA161" i="71"/>
  <c r="W193" i="71"/>
  <c r="AB130" i="71"/>
  <c r="AA129" i="71"/>
  <c r="Z159" i="71"/>
  <c r="X189" i="71"/>
  <c r="Y166" i="71"/>
  <c r="Y160" i="71"/>
  <c r="X160" i="71"/>
  <c r="W164" i="71"/>
  <c r="AA188" i="71"/>
  <c r="W161" i="71"/>
  <c r="Y129" i="71"/>
  <c r="AB193" i="71"/>
  <c r="AA159" i="71"/>
  <c r="Z189" i="71"/>
  <c r="X129" i="71"/>
  <c r="Y134" i="71"/>
  <c r="Y189" i="71"/>
  <c r="W190" i="71"/>
  <c r="Z188" i="71"/>
  <c r="Z157" i="71"/>
  <c r="AA131" i="71"/>
  <c r="AA130" i="71"/>
  <c r="AB191" i="71"/>
  <c r="AA189" i="71"/>
  <c r="Z129" i="71"/>
  <c r="X159" i="71"/>
  <c r="Y159" i="71"/>
  <c r="AA132" i="71"/>
  <c r="AA195" i="71"/>
  <c r="Z131" i="71"/>
  <c r="X128" i="71"/>
  <c r="Z135" i="71"/>
  <c r="Y165" i="71"/>
  <c r="W159" i="71"/>
  <c r="W163" i="71"/>
  <c r="AB162" i="71"/>
  <c r="Z194" i="71"/>
  <c r="Z163" i="71"/>
  <c r="X194" i="71"/>
  <c r="Y191" i="71"/>
  <c r="AB143" i="80" l="1"/>
  <c r="AB169" i="80" s="1"/>
  <c r="AB146" i="80"/>
  <c r="AB172" i="80" s="1"/>
  <c r="Z145" i="80"/>
  <c r="Z171" i="80" s="1"/>
  <c r="AA147" i="80"/>
  <c r="AA173" i="80" s="1"/>
  <c r="Y149" i="80"/>
  <c r="Y175" i="80" s="1"/>
  <c r="AB149" i="80"/>
  <c r="AB175" i="80" s="1"/>
  <c r="AA149" i="80"/>
  <c r="AA175" i="80" s="1"/>
  <c r="AA148" i="80"/>
  <c r="AA174" i="80" s="1"/>
  <c r="W145" i="80"/>
  <c r="W171" i="80" s="1"/>
  <c r="X206" i="80"/>
  <c r="AB206" i="80"/>
  <c r="W144" i="80"/>
  <c r="W170" i="80" s="1"/>
  <c r="W146" i="80"/>
  <c r="W172" i="80" s="1"/>
  <c r="Y206" i="80"/>
  <c r="Z206" i="80"/>
  <c r="O91" i="53"/>
  <c r="S91" i="53"/>
  <c r="P91" i="53"/>
  <c r="R91" i="53"/>
  <c r="Z143" i="80"/>
  <c r="Z169" i="80" s="1"/>
  <c r="X148" i="80"/>
  <c r="X174" i="80" s="1"/>
  <c r="AA145" i="80"/>
  <c r="AA171" i="80" s="1"/>
  <c r="W208" i="80"/>
  <c r="Y147" i="80"/>
  <c r="Y173" i="80" s="1"/>
  <c r="AB147" i="80"/>
  <c r="AB173" i="80" s="1"/>
  <c r="X150" i="80"/>
  <c r="X208" i="80" s="1"/>
  <c r="AB150" i="80"/>
  <c r="AB208" i="80" s="1"/>
  <c r="W149" i="80"/>
  <c r="W175" i="80" s="1"/>
  <c r="W142" i="80"/>
  <c r="W168" i="80" s="1"/>
  <c r="Z146" i="80"/>
  <c r="Z172" i="80" s="1"/>
  <c r="Y150" i="80"/>
  <c r="Y176" i="80" s="1"/>
  <c r="Y148" i="80"/>
  <c r="Y174" i="80" s="1"/>
  <c r="W148" i="80"/>
  <c r="W174" i="80" s="1"/>
  <c r="AB145" i="80"/>
  <c r="AB171" i="80" s="1"/>
  <c r="W147" i="80"/>
  <c r="W173" i="80" s="1"/>
  <c r="Z148" i="80"/>
  <c r="Z174" i="80" s="1"/>
  <c r="W143" i="80"/>
  <c r="W169" i="80" s="1"/>
  <c r="R206" i="80"/>
  <c r="AA150" i="80"/>
  <c r="AA176" i="80" s="1"/>
  <c r="X149" i="80"/>
  <c r="X175" i="80" s="1"/>
  <c r="Y142" i="80"/>
  <c r="Y168" i="80" s="1"/>
  <c r="W206" i="80"/>
  <c r="Z150" i="80"/>
  <c r="Z208" i="80" s="1"/>
  <c r="X146" i="80"/>
  <c r="X172" i="80" s="1"/>
  <c r="AB144" i="80"/>
  <c r="AB170" i="80" s="1"/>
  <c r="U135" i="65"/>
  <c r="U50" i="105" s="1"/>
  <c r="U89" i="105" s="1"/>
  <c r="U124" i="65"/>
  <c r="U153" i="65" s="1"/>
  <c r="U68" i="105" s="1"/>
  <c r="U186" i="105" s="1"/>
  <c r="U115" i="65"/>
  <c r="U144" i="65" s="1"/>
  <c r="U59" i="105" s="1"/>
  <c r="U175" i="105" s="1"/>
  <c r="M91" i="53"/>
  <c r="J91" i="53"/>
  <c r="L91" i="53"/>
  <c r="K91" i="53"/>
  <c r="R21" i="31"/>
  <c r="R23" i="31" s="1"/>
  <c r="S20" i="31"/>
  <c r="S21" i="31" s="1"/>
  <c r="S23" i="31" s="1"/>
  <c r="V98" i="105"/>
  <c r="V100" i="105"/>
  <c r="V108" i="105"/>
  <c r="U73" i="74"/>
  <c r="U72" i="74"/>
  <c r="U76" i="74"/>
  <c r="U75" i="74"/>
  <c r="U78" i="74"/>
  <c r="U77" i="74"/>
  <c r="U74" i="74"/>
  <c r="U56" i="41"/>
  <c r="X176" i="80" l="1"/>
  <c r="Z176" i="80"/>
  <c r="Z177" i="80" s="1"/>
  <c r="AB176" i="80"/>
  <c r="M93" i="53"/>
  <c r="M279" i="53" s="1"/>
  <c r="M267" i="53"/>
  <c r="M78" i="83" s="1"/>
  <c r="K93" i="53"/>
  <c r="K272" i="53" s="1"/>
  <c r="K267" i="53"/>
  <c r="K78" i="83" s="1"/>
  <c r="L93" i="53"/>
  <c r="L278" i="53" s="1"/>
  <c r="L267" i="53"/>
  <c r="L78" i="83" s="1"/>
  <c r="J93" i="53"/>
  <c r="J296" i="53" s="1"/>
  <c r="J267" i="53"/>
  <c r="J78" i="83" s="1"/>
  <c r="AA177" i="80"/>
  <c r="P93" i="53"/>
  <c r="P296" i="53" s="1"/>
  <c r="P267" i="53"/>
  <c r="P78" i="83" s="1"/>
  <c r="S93" i="53"/>
  <c r="S275" i="53" s="1"/>
  <c r="S267" i="53"/>
  <c r="S78" i="83" s="1"/>
  <c r="O93" i="53"/>
  <c r="O301" i="53" s="1"/>
  <c r="O113" i="83" s="1"/>
  <c r="O218" i="83" s="1"/>
  <c r="O90" i="71" s="1"/>
  <c r="O267" i="53"/>
  <c r="O78" i="83" s="1"/>
  <c r="R93" i="53"/>
  <c r="R273" i="53" s="1"/>
  <c r="R267" i="53"/>
  <c r="R78" i="83" s="1"/>
  <c r="Y177" i="80"/>
  <c r="W177" i="80"/>
  <c r="AB177" i="80"/>
  <c r="X177" i="80"/>
  <c r="Y208" i="80"/>
  <c r="AA208" i="80"/>
  <c r="H214" i="80" a="1"/>
  <c r="U134" i="65"/>
  <c r="U49" i="105" s="1"/>
  <c r="U88" i="105" s="1"/>
  <c r="U114" i="65"/>
  <c r="U143" i="65" s="1"/>
  <c r="U58" i="105" s="1"/>
  <c r="U174" i="105" s="1"/>
  <c r="U123" i="65"/>
  <c r="U152" i="65" s="1"/>
  <c r="U67" i="105" s="1"/>
  <c r="U185" i="105" s="1"/>
  <c r="L274" i="53"/>
  <c r="L300" i="53"/>
  <c r="T278" i="53"/>
  <c r="T284" i="53"/>
  <c r="T286" i="53"/>
  <c r="T280" i="53"/>
  <c r="T289" i="53"/>
  <c r="T294" i="53"/>
  <c r="T277" i="53"/>
  <c r="T290" i="53"/>
  <c r="T287" i="53"/>
  <c r="T288" i="53"/>
  <c r="T274" i="53"/>
  <c r="T297" i="53"/>
  <c r="T302" i="53"/>
  <c r="T291" i="53"/>
  <c r="T300" i="53"/>
  <c r="T299" i="53"/>
  <c r="T276" i="53"/>
  <c r="T272" i="53"/>
  <c r="T298" i="53"/>
  <c r="T301" i="53"/>
  <c r="T273" i="53"/>
  <c r="T296" i="53"/>
  <c r="T279" i="53"/>
  <c r="T295" i="53"/>
  <c r="T283" i="53"/>
  <c r="T285" i="53"/>
  <c r="T275" i="53"/>
  <c r="H204" i="31" a="1"/>
  <c r="H204" i="31" s="1"/>
  <c r="U87" i="83"/>
  <c r="U158" i="83" s="1"/>
  <c r="U28" i="71" s="1"/>
  <c r="U75" i="80"/>
  <c r="U87" i="80" s="1"/>
  <c r="U95" i="83"/>
  <c r="U183" i="83" s="1"/>
  <c r="U54" i="71" s="1"/>
  <c r="U94" i="80"/>
  <c r="U106" i="80" s="1"/>
  <c r="U83" i="83"/>
  <c r="U154" i="83" s="1"/>
  <c r="U24" i="71" s="1"/>
  <c r="U71" i="80"/>
  <c r="U83" i="80" s="1"/>
  <c r="U84" i="83"/>
  <c r="U155" i="83" s="1"/>
  <c r="U25" i="71" s="1"/>
  <c r="U72" i="80"/>
  <c r="U84" i="80" s="1"/>
  <c r="U112" i="83"/>
  <c r="U217" i="83" s="1"/>
  <c r="U89" i="71" s="1"/>
  <c r="U122" i="80"/>
  <c r="U134" i="80" s="1"/>
  <c r="U106" i="83"/>
  <c r="U211" i="83" s="1"/>
  <c r="U83" i="71" s="1"/>
  <c r="U105" i="83"/>
  <c r="U210" i="83" s="1"/>
  <c r="U82" i="71" s="1"/>
  <c r="U116" i="80"/>
  <c r="U128" i="80" s="1"/>
  <c r="U101" i="83"/>
  <c r="U189" i="83" s="1"/>
  <c r="U60" i="71" s="1"/>
  <c r="U100" i="80"/>
  <c r="U112" i="80" s="1"/>
  <c r="V87" i="83"/>
  <c r="V158" i="83" s="1"/>
  <c r="V28" i="71" s="1"/>
  <c r="V75" i="80"/>
  <c r="V87" i="80" s="1"/>
  <c r="V86" i="83"/>
  <c r="V157" i="83" s="1"/>
  <c r="V27" i="71" s="1"/>
  <c r="V74" i="80"/>
  <c r="V86" i="80" s="1"/>
  <c r="V100" i="83"/>
  <c r="V188" i="83" s="1"/>
  <c r="V59" i="71" s="1"/>
  <c r="V99" i="80"/>
  <c r="V111" i="80" s="1"/>
  <c r="V102" i="83"/>
  <c r="V190" i="83" s="1"/>
  <c r="V61" i="71" s="1"/>
  <c r="V101" i="80"/>
  <c r="V113" i="80" s="1"/>
  <c r="V96" i="83"/>
  <c r="V184" i="83" s="1"/>
  <c r="V55" i="71" s="1"/>
  <c r="V95" i="80"/>
  <c r="V107" i="80" s="1"/>
  <c r="V93" i="83"/>
  <c r="V181" i="83" s="1"/>
  <c r="V52" i="71" s="1"/>
  <c r="V94" i="83"/>
  <c r="V182" i="83" s="1"/>
  <c r="V53" i="71" s="1"/>
  <c r="V93" i="80"/>
  <c r="V105" i="80" s="1"/>
  <c r="V111" i="83"/>
  <c r="V216" i="83" s="1"/>
  <c r="V88" i="71" s="1"/>
  <c r="V121" i="80"/>
  <c r="V133" i="80" s="1"/>
  <c r="U100" i="83"/>
  <c r="U188" i="83" s="1"/>
  <c r="U59" i="71" s="1"/>
  <c r="U99" i="80"/>
  <c r="U111" i="80" s="1"/>
  <c r="U98" i="83"/>
  <c r="U186" i="83" s="1"/>
  <c r="U57" i="71" s="1"/>
  <c r="U97" i="80"/>
  <c r="U109" i="80" s="1"/>
  <c r="U110" i="83"/>
  <c r="U215" i="83" s="1"/>
  <c r="U87" i="71" s="1"/>
  <c r="U120" i="80"/>
  <c r="U132" i="80" s="1"/>
  <c r="U86" i="83"/>
  <c r="U157" i="83" s="1"/>
  <c r="U27" i="71" s="1"/>
  <c r="U74" i="80"/>
  <c r="U86" i="80" s="1"/>
  <c r="U109" i="83"/>
  <c r="U214" i="83" s="1"/>
  <c r="U86" i="71" s="1"/>
  <c r="U119" i="80"/>
  <c r="U131" i="80" s="1"/>
  <c r="U94" i="83"/>
  <c r="U182" i="83" s="1"/>
  <c r="U53" i="71" s="1"/>
  <c r="U93" i="83"/>
  <c r="U181" i="83" s="1"/>
  <c r="U52" i="71" s="1"/>
  <c r="U93" i="80"/>
  <c r="U105" i="80" s="1"/>
  <c r="V109" i="83"/>
  <c r="V214" i="83" s="1"/>
  <c r="V86" i="71" s="1"/>
  <c r="V119" i="80"/>
  <c r="V131" i="80" s="1"/>
  <c r="V85" i="83"/>
  <c r="V156" i="83" s="1"/>
  <c r="V26" i="71" s="1"/>
  <c r="V73" i="80"/>
  <c r="V85" i="80" s="1"/>
  <c r="V108" i="83"/>
  <c r="V213" i="83" s="1"/>
  <c r="V85" i="71" s="1"/>
  <c r="V118" i="80"/>
  <c r="V130" i="80" s="1"/>
  <c r="V95" i="83"/>
  <c r="V183" i="83" s="1"/>
  <c r="V54" i="71" s="1"/>
  <c r="V94" i="80"/>
  <c r="V106" i="80" s="1"/>
  <c r="V88" i="83"/>
  <c r="V159" i="83" s="1"/>
  <c r="V29" i="71" s="1"/>
  <c r="V76" i="80"/>
  <c r="V88" i="80" s="1"/>
  <c r="V114" i="83"/>
  <c r="V219" i="83" s="1"/>
  <c r="V91" i="71" s="1"/>
  <c r="V124" i="80"/>
  <c r="V136" i="80" s="1"/>
  <c r="U89" i="83"/>
  <c r="U160" i="83" s="1"/>
  <c r="U30" i="71" s="1"/>
  <c r="U77" i="80"/>
  <c r="U89" i="80" s="1"/>
  <c r="U111" i="83"/>
  <c r="U216" i="83" s="1"/>
  <c r="U88" i="71" s="1"/>
  <c r="U121" i="80"/>
  <c r="U133" i="80" s="1"/>
  <c r="U107" i="83"/>
  <c r="U212" i="83" s="1"/>
  <c r="U84" i="71" s="1"/>
  <c r="U117" i="80"/>
  <c r="U129" i="80" s="1"/>
  <c r="U108" i="83"/>
  <c r="U213" i="83" s="1"/>
  <c r="U85" i="71" s="1"/>
  <c r="U118" i="80"/>
  <c r="U130" i="80" s="1"/>
  <c r="U90" i="83"/>
  <c r="U161" i="83" s="1"/>
  <c r="U31" i="71" s="1"/>
  <c r="U78" i="80"/>
  <c r="U90" i="80" s="1"/>
  <c r="U114" i="83"/>
  <c r="U219" i="83" s="1"/>
  <c r="U91" i="71" s="1"/>
  <c r="U124" i="80"/>
  <c r="U136" i="80" s="1"/>
  <c r="U82" i="83"/>
  <c r="U153" i="83" s="1"/>
  <c r="U23" i="71" s="1"/>
  <c r="U81" i="83"/>
  <c r="U152" i="83" s="1"/>
  <c r="U22" i="71" s="1"/>
  <c r="U127" i="71" s="1"/>
  <c r="U70" i="80"/>
  <c r="U82" i="80" s="1"/>
  <c r="V89" i="83"/>
  <c r="V160" i="83" s="1"/>
  <c r="V30" i="71" s="1"/>
  <c r="V77" i="80"/>
  <c r="V89" i="80" s="1"/>
  <c r="V99" i="83"/>
  <c r="V187" i="83" s="1"/>
  <c r="V58" i="71" s="1"/>
  <c r="V98" i="80"/>
  <c r="V110" i="80" s="1"/>
  <c r="V107" i="83"/>
  <c r="V212" i="83" s="1"/>
  <c r="V84" i="71" s="1"/>
  <c r="V117" i="80"/>
  <c r="V129" i="80" s="1"/>
  <c r="V84" i="83"/>
  <c r="V155" i="83" s="1"/>
  <c r="V25" i="71" s="1"/>
  <c r="V72" i="80"/>
  <c r="V84" i="80" s="1"/>
  <c r="V106" i="83"/>
  <c r="V211" i="83" s="1"/>
  <c r="V83" i="71" s="1"/>
  <c r="V105" i="83"/>
  <c r="V210" i="83" s="1"/>
  <c r="V82" i="71" s="1"/>
  <c r="V116" i="80"/>
  <c r="V128" i="80" s="1"/>
  <c r="V97" i="83"/>
  <c r="V185" i="83" s="1"/>
  <c r="V56" i="71" s="1"/>
  <c r="V96" i="80"/>
  <c r="V108" i="80" s="1"/>
  <c r="V82" i="83"/>
  <c r="V153" i="83" s="1"/>
  <c r="V23" i="71" s="1"/>
  <c r="V81" i="83"/>
  <c r="V152" i="83" s="1"/>
  <c r="V70" i="80"/>
  <c r="V82" i="80" s="1"/>
  <c r="U88" i="83"/>
  <c r="U159" i="83" s="1"/>
  <c r="U29" i="71" s="1"/>
  <c r="U76" i="80"/>
  <c r="U88" i="80" s="1"/>
  <c r="U113" i="83"/>
  <c r="U218" i="83" s="1"/>
  <c r="U90" i="71" s="1"/>
  <c r="U123" i="80"/>
  <c r="U135" i="80" s="1"/>
  <c r="U85" i="83"/>
  <c r="U156" i="83" s="1"/>
  <c r="U26" i="71" s="1"/>
  <c r="U73" i="80"/>
  <c r="U85" i="80" s="1"/>
  <c r="U102" i="83"/>
  <c r="U190" i="83" s="1"/>
  <c r="U61" i="71" s="1"/>
  <c r="U101" i="80"/>
  <c r="U113" i="80" s="1"/>
  <c r="U99" i="83"/>
  <c r="U187" i="83" s="1"/>
  <c r="U58" i="71" s="1"/>
  <c r="U98" i="80"/>
  <c r="U110" i="80" s="1"/>
  <c r="U96" i="83"/>
  <c r="U184" i="83" s="1"/>
  <c r="U55" i="71" s="1"/>
  <c r="U95" i="80"/>
  <c r="U107" i="80" s="1"/>
  <c r="U97" i="83"/>
  <c r="U185" i="83" s="1"/>
  <c r="U56" i="71" s="1"/>
  <c r="U96" i="80"/>
  <c r="U108" i="80" s="1"/>
  <c r="V98" i="83"/>
  <c r="V186" i="83" s="1"/>
  <c r="V57" i="71" s="1"/>
  <c r="V97" i="80"/>
  <c r="V109" i="80" s="1"/>
  <c r="V113" i="83"/>
  <c r="V218" i="83" s="1"/>
  <c r="V90" i="71" s="1"/>
  <c r="V123" i="80"/>
  <c r="V135" i="80" s="1"/>
  <c r="V110" i="83"/>
  <c r="V215" i="83" s="1"/>
  <c r="V87" i="71" s="1"/>
  <c r="V120" i="80"/>
  <c r="V132" i="80" s="1"/>
  <c r="V83" i="83"/>
  <c r="V154" i="83" s="1"/>
  <c r="V24" i="71" s="1"/>
  <c r="V71" i="80"/>
  <c r="V83" i="80" s="1"/>
  <c r="V112" i="83"/>
  <c r="V217" i="83" s="1"/>
  <c r="V89" i="71" s="1"/>
  <c r="V122" i="80"/>
  <c r="V134" i="80" s="1"/>
  <c r="V90" i="83"/>
  <c r="V161" i="83" s="1"/>
  <c r="V31" i="71" s="1"/>
  <c r="V78" i="80"/>
  <c r="V90" i="80" s="1"/>
  <c r="V101" i="83"/>
  <c r="V189" i="83" s="1"/>
  <c r="V60" i="71" s="1"/>
  <c r="V100" i="80"/>
  <c r="V112" i="80" s="1"/>
  <c r="O99" i="105"/>
  <c r="U99" i="105"/>
  <c r="P99" i="105"/>
  <c r="U109" i="105"/>
  <c r="U55" i="41"/>
  <c r="M274" i="53" l="1"/>
  <c r="M299" i="53"/>
  <c r="M111" i="83" s="1"/>
  <c r="M216" i="83" s="1"/>
  <c r="M88" i="71" s="1"/>
  <c r="M193" i="71" s="1"/>
  <c r="L290" i="53"/>
  <c r="L101" i="83" s="1"/>
  <c r="L189" i="83" s="1"/>
  <c r="L60" i="71" s="1"/>
  <c r="L165" i="71" s="1"/>
  <c r="M277" i="53"/>
  <c r="M75" i="80" s="1"/>
  <c r="M87" i="80" s="1"/>
  <c r="L273" i="53"/>
  <c r="M288" i="53"/>
  <c r="M99" i="83" s="1"/>
  <c r="M187" i="83" s="1"/>
  <c r="M58" i="71" s="1"/>
  <c r="M163" i="71" s="1"/>
  <c r="M302" i="53"/>
  <c r="L275" i="53"/>
  <c r="L291" i="53"/>
  <c r="L102" i="83" s="1"/>
  <c r="L190" i="83" s="1"/>
  <c r="L61" i="71" s="1"/>
  <c r="L166" i="71" s="1"/>
  <c r="L272" i="53"/>
  <c r="L81" i="83" s="1"/>
  <c r="L152" i="83" s="1"/>
  <c r="L284" i="53"/>
  <c r="M294" i="53"/>
  <c r="M283" i="53"/>
  <c r="M291" i="53"/>
  <c r="M276" i="53"/>
  <c r="L276" i="53"/>
  <c r="L74" i="80" s="1"/>
  <c r="L86" i="80" s="1"/>
  <c r="L296" i="53"/>
  <c r="L297" i="53"/>
  <c r="L119" i="80" s="1"/>
  <c r="L131" i="80" s="1"/>
  <c r="M298" i="53"/>
  <c r="M297" i="53"/>
  <c r="M300" i="53"/>
  <c r="K275" i="53"/>
  <c r="K73" i="80" s="1"/>
  <c r="K85" i="80" s="1"/>
  <c r="L283" i="53"/>
  <c r="L93" i="83" s="1"/>
  <c r="L181" i="83" s="1"/>
  <c r="L285" i="53"/>
  <c r="L96" i="83" s="1"/>
  <c r="L184" i="83" s="1"/>
  <c r="L55" i="71" s="1"/>
  <c r="L160" i="71" s="1"/>
  <c r="L289" i="53"/>
  <c r="L100" i="83" s="1"/>
  <c r="L188" i="83" s="1"/>
  <c r="L59" i="71" s="1"/>
  <c r="L164" i="71" s="1"/>
  <c r="M301" i="53"/>
  <c r="M285" i="53"/>
  <c r="M284" i="53"/>
  <c r="M280" i="53"/>
  <c r="M296" i="53"/>
  <c r="M272" i="53"/>
  <c r="L301" i="53"/>
  <c r="L113" i="83" s="1"/>
  <c r="L218" i="83" s="1"/>
  <c r="L90" i="71" s="1"/>
  <c r="L195" i="71" s="1"/>
  <c r="L298" i="53"/>
  <c r="L110" i="83" s="1"/>
  <c r="L215" i="83" s="1"/>
  <c r="L87" i="71" s="1"/>
  <c r="L192" i="71" s="1"/>
  <c r="L288" i="53"/>
  <c r="L98" i="80" s="1"/>
  <c r="L110" i="80" s="1"/>
  <c r="L277" i="53"/>
  <c r="L87" i="83" s="1"/>
  <c r="L158" i="83" s="1"/>
  <c r="L28" i="71" s="1"/>
  <c r="L133" i="71" s="1"/>
  <c r="L302" i="53"/>
  <c r="L114" i="83" s="1"/>
  <c r="L219" i="83" s="1"/>
  <c r="L91" i="71" s="1"/>
  <c r="L196" i="71" s="1"/>
  <c r="L294" i="53"/>
  <c r="L116" i="80" s="1"/>
  <c r="L128" i="80" s="1"/>
  <c r="L295" i="53"/>
  <c r="L107" i="83" s="1"/>
  <c r="L212" i="83" s="1"/>
  <c r="L84" i="71" s="1"/>
  <c r="L189" i="71" s="1"/>
  <c r="M275" i="53"/>
  <c r="M278" i="53"/>
  <c r="M273" i="53"/>
  <c r="M295" i="53"/>
  <c r="M290" i="53"/>
  <c r="M289" i="53"/>
  <c r="M287" i="53"/>
  <c r="K274" i="53"/>
  <c r="K84" i="83" s="1"/>
  <c r="K155" i="83" s="1"/>
  <c r="K25" i="71" s="1"/>
  <c r="K130" i="71" s="1"/>
  <c r="L286" i="53"/>
  <c r="L280" i="53"/>
  <c r="L90" i="83" s="1"/>
  <c r="L161" i="83" s="1"/>
  <c r="L31" i="71" s="1"/>
  <c r="L136" i="71" s="1"/>
  <c r="L287" i="53"/>
  <c r="L98" i="83" s="1"/>
  <c r="L186" i="83" s="1"/>
  <c r="L57" i="71" s="1"/>
  <c r="L162" i="71" s="1"/>
  <c r="L299" i="53"/>
  <c r="L279" i="53"/>
  <c r="L89" i="83" s="1"/>
  <c r="L160" i="83" s="1"/>
  <c r="L30" i="71" s="1"/>
  <c r="L135" i="71" s="1"/>
  <c r="J288" i="53"/>
  <c r="M286" i="53"/>
  <c r="K283" i="53"/>
  <c r="K277" i="53"/>
  <c r="K75" i="80" s="1"/>
  <c r="K87" i="80" s="1"/>
  <c r="J273" i="53"/>
  <c r="K289" i="53"/>
  <c r="K290" i="53"/>
  <c r="K101" i="83" s="1"/>
  <c r="K189" i="83" s="1"/>
  <c r="K60" i="71" s="1"/>
  <c r="K165" i="71" s="1"/>
  <c r="J274" i="53"/>
  <c r="J280" i="53"/>
  <c r="K296" i="53"/>
  <c r="K118" i="80" s="1"/>
  <c r="K130" i="80" s="1"/>
  <c r="J284" i="53"/>
  <c r="J285" i="53"/>
  <c r="P295" i="53"/>
  <c r="P107" i="83" s="1"/>
  <c r="P212" i="83" s="1"/>
  <c r="P84" i="71" s="1"/>
  <c r="P285" i="53"/>
  <c r="P96" i="83" s="1"/>
  <c r="P184" i="83" s="1"/>
  <c r="P55" i="71" s="1"/>
  <c r="P300" i="53"/>
  <c r="P112" i="83" s="1"/>
  <c r="P217" i="83" s="1"/>
  <c r="P89" i="71" s="1"/>
  <c r="P274" i="53"/>
  <c r="P72" i="80" s="1"/>
  <c r="P84" i="80" s="1"/>
  <c r="P272" i="53"/>
  <c r="P81" i="83" s="1"/>
  <c r="P152" i="83" s="1"/>
  <c r="P22" i="71" s="1"/>
  <c r="P283" i="53"/>
  <c r="P93" i="80" s="1"/>
  <c r="P105" i="80" s="1"/>
  <c r="P301" i="53"/>
  <c r="P123" i="80" s="1"/>
  <c r="P135" i="80" s="1"/>
  <c r="P290" i="53"/>
  <c r="P100" i="80" s="1"/>
  <c r="P112" i="80" s="1"/>
  <c r="P291" i="53"/>
  <c r="P101" i="80" s="1"/>
  <c r="P113" i="80" s="1"/>
  <c r="P299" i="53"/>
  <c r="P111" i="83" s="1"/>
  <c r="P216" i="83" s="1"/>
  <c r="P88" i="71" s="1"/>
  <c r="P275" i="53"/>
  <c r="P85" i="83" s="1"/>
  <c r="P156" i="83" s="1"/>
  <c r="P26" i="71" s="1"/>
  <c r="P297" i="53"/>
  <c r="P109" i="83" s="1"/>
  <c r="P214" i="83" s="1"/>
  <c r="P86" i="71" s="1"/>
  <c r="P284" i="53"/>
  <c r="P94" i="80" s="1"/>
  <c r="P106" i="80" s="1"/>
  <c r="P286" i="53"/>
  <c r="P96" i="80" s="1"/>
  <c r="P108" i="80" s="1"/>
  <c r="P280" i="53"/>
  <c r="P90" i="83" s="1"/>
  <c r="P161" i="83" s="1"/>
  <c r="P31" i="71" s="1"/>
  <c r="P294" i="53"/>
  <c r="P105" i="83" s="1"/>
  <c r="P210" i="83" s="1"/>
  <c r="P82" i="71" s="1"/>
  <c r="P289" i="53"/>
  <c r="P100" i="83" s="1"/>
  <c r="P188" i="83" s="1"/>
  <c r="P59" i="71" s="1"/>
  <c r="P277" i="53"/>
  <c r="P87" i="83" s="1"/>
  <c r="P158" i="83" s="1"/>
  <c r="P28" i="71" s="1"/>
  <c r="P279" i="53"/>
  <c r="P89" i="83" s="1"/>
  <c r="P160" i="83" s="1"/>
  <c r="P30" i="71" s="1"/>
  <c r="K273" i="53"/>
  <c r="K286" i="53"/>
  <c r="K96" i="80" s="1"/>
  <c r="K108" i="80" s="1"/>
  <c r="K287" i="53"/>
  <c r="K276" i="53"/>
  <c r="K74" i="80" s="1"/>
  <c r="K86" i="80" s="1"/>
  <c r="K299" i="53"/>
  <c r="K111" i="83" s="1"/>
  <c r="K216" i="83" s="1"/>
  <c r="K88" i="71" s="1"/>
  <c r="K193" i="71" s="1"/>
  <c r="K295" i="53"/>
  <c r="K279" i="53"/>
  <c r="K77" i="80" s="1"/>
  <c r="K89" i="80" s="1"/>
  <c r="J298" i="53"/>
  <c r="J302" i="53"/>
  <c r="J286" i="53"/>
  <c r="J300" i="53"/>
  <c r="J291" i="53"/>
  <c r="J294" i="53"/>
  <c r="J295" i="53"/>
  <c r="K280" i="53"/>
  <c r="K90" i="83" s="1"/>
  <c r="K161" i="83" s="1"/>
  <c r="K31" i="71" s="1"/>
  <c r="K136" i="71" s="1"/>
  <c r="K294" i="53"/>
  <c r="K300" i="53"/>
  <c r="K122" i="80" s="1"/>
  <c r="K134" i="80" s="1"/>
  <c r="K288" i="53"/>
  <c r="K99" i="83" s="1"/>
  <c r="K187" i="83" s="1"/>
  <c r="K58" i="71" s="1"/>
  <c r="K163" i="71" s="1"/>
  <c r="K302" i="53"/>
  <c r="K114" i="83" s="1"/>
  <c r="K219" i="83" s="1"/>
  <c r="K91" i="71" s="1"/>
  <c r="K196" i="71" s="1"/>
  <c r="K284" i="53"/>
  <c r="K95" i="83" s="1"/>
  <c r="K183" i="83" s="1"/>
  <c r="K54" i="71" s="1"/>
  <c r="K159" i="71" s="1"/>
  <c r="J272" i="53"/>
  <c r="J279" i="53"/>
  <c r="J276" i="53"/>
  <c r="J290" i="53"/>
  <c r="J277" i="53"/>
  <c r="J299" i="53"/>
  <c r="J275" i="53"/>
  <c r="P298" i="53"/>
  <c r="P110" i="83" s="1"/>
  <c r="P215" i="83" s="1"/>
  <c r="P87" i="71" s="1"/>
  <c r="K298" i="53"/>
  <c r="K291" i="53"/>
  <c r="K101" i="80" s="1"/>
  <c r="K113" i="80" s="1"/>
  <c r="K297" i="53"/>
  <c r="K285" i="53"/>
  <c r="K96" i="83" s="1"/>
  <c r="K184" i="83" s="1"/>
  <c r="K55" i="71" s="1"/>
  <c r="K160" i="71" s="1"/>
  <c r="K278" i="53"/>
  <c r="K301" i="53"/>
  <c r="K113" i="83" s="1"/>
  <c r="K218" i="83" s="1"/>
  <c r="K90" i="71" s="1"/>
  <c r="K195" i="71" s="1"/>
  <c r="J297" i="53"/>
  <c r="J301" i="53"/>
  <c r="J278" i="53"/>
  <c r="J283" i="53"/>
  <c r="J289" i="53"/>
  <c r="J287" i="53"/>
  <c r="P287" i="53"/>
  <c r="P98" i="83" s="1"/>
  <c r="P186" i="83" s="1"/>
  <c r="P57" i="71" s="1"/>
  <c r="P273" i="53"/>
  <c r="P83" i="83" s="1"/>
  <c r="P154" i="83" s="1"/>
  <c r="P24" i="71" s="1"/>
  <c r="P288" i="53"/>
  <c r="P99" i="83" s="1"/>
  <c r="P187" i="83" s="1"/>
  <c r="P58" i="71" s="1"/>
  <c r="O277" i="53"/>
  <c r="O75" i="80" s="1"/>
  <c r="O87" i="80" s="1"/>
  <c r="P302" i="53"/>
  <c r="P114" i="83" s="1"/>
  <c r="P219" i="83" s="1"/>
  <c r="P91" i="71" s="1"/>
  <c r="O289" i="53"/>
  <c r="O99" i="80" s="1"/>
  <c r="O111" i="80" s="1"/>
  <c r="O280" i="53"/>
  <c r="O90" i="83" s="1"/>
  <c r="O161" i="83" s="1"/>
  <c r="O31" i="71" s="1"/>
  <c r="O285" i="53"/>
  <c r="O95" i="80" s="1"/>
  <c r="O107" i="80" s="1"/>
  <c r="P276" i="53"/>
  <c r="P86" i="83" s="1"/>
  <c r="P157" i="83" s="1"/>
  <c r="P27" i="71" s="1"/>
  <c r="P278" i="53"/>
  <c r="P88" i="83" s="1"/>
  <c r="P159" i="83" s="1"/>
  <c r="P29" i="71" s="1"/>
  <c r="O299" i="53"/>
  <c r="O111" i="83" s="1"/>
  <c r="O216" i="83" s="1"/>
  <c r="O88" i="71" s="1"/>
  <c r="O284" i="53"/>
  <c r="O95" i="83" s="1"/>
  <c r="O183" i="83" s="1"/>
  <c r="O54" i="71" s="1"/>
  <c r="O290" i="53"/>
  <c r="O101" i="83" s="1"/>
  <c r="O189" i="83" s="1"/>
  <c r="O60" i="71" s="1"/>
  <c r="O288" i="53"/>
  <c r="O99" i="83" s="1"/>
  <c r="O187" i="83" s="1"/>
  <c r="O58" i="71" s="1"/>
  <c r="O287" i="53"/>
  <c r="O98" i="83" s="1"/>
  <c r="O186" i="83" s="1"/>
  <c r="O57" i="71" s="1"/>
  <c r="O286" i="53"/>
  <c r="O96" i="80" s="1"/>
  <c r="O108" i="80" s="1"/>
  <c r="O294" i="53"/>
  <c r="O116" i="80" s="1"/>
  <c r="O128" i="80" s="1"/>
  <c r="O275" i="53"/>
  <c r="O85" i="83" s="1"/>
  <c r="O156" i="83" s="1"/>
  <c r="O26" i="71" s="1"/>
  <c r="S288" i="53"/>
  <c r="S98" i="80" s="1"/>
  <c r="S110" i="80" s="1"/>
  <c r="J126" i="83"/>
  <c r="J126" i="72" s="1"/>
  <c r="J196" i="72" s="1"/>
  <c r="J226" i="72" s="1"/>
  <c r="J131" i="83"/>
  <c r="J131" i="72" s="1"/>
  <c r="J201" i="72" s="1"/>
  <c r="J231" i="72" s="1"/>
  <c r="J128" i="83"/>
  <c r="J128" i="72" s="1"/>
  <c r="J198" i="72" s="1"/>
  <c r="J228" i="72" s="1"/>
  <c r="J124" i="83"/>
  <c r="J130" i="83"/>
  <c r="J130" i="72" s="1"/>
  <c r="J200" i="72" s="1"/>
  <c r="J230" i="72" s="1"/>
  <c r="J127" i="83"/>
  <c r="J127" i="72" s="1"/>
  <c r="J197" i="72" s="1"/>
  <c r="J227" i="72" s="1"/>
  <c r="J129" i="83"/>
  <c r="J129" i="72" s="1"/>
  <c r="J199" i="72" s="1"/>
  <c r="J229" i="72" s="1"/>
  <c r="J125" i="83"/>
  <c r="J125" i="72" s="1"/>
  <c r="J195" i="72" s="1"/>
  <c r="J225" i="72" s="1"/>
  <c r="J123" i="83"/>
  <c r="J132" i="83"/>
  <c r="J132" i="72" s="1"/>
  <c r="J202" i="72" s="1"/>
  <c r="J232" i="72" s="1"/>
  <c r="K128" i="83"/>
  <c r="K128" i="72" s="1"/>
  <c r="K198" i="72" s="1"/>
  <c r="K228" i="72" s="1"/>
  <c r="K126" i="83"/>
  <c r="K126" i="72" s="1"/>
  <c r="K196" i="72" s="1"/>
  <c r="K226" i="72" s="1"/>
  <c r="K125" i="83"/>
  <c r="K125" i="72" s="1"/>
  <c r="K195" i="72" s="1"/>
  <c r="K225" i="72" s="1"/>
  <c r="K129" i="83"/>
  <c r="K129" i="72" s="1"/>
  <c r="K199" i="72" s="1"/>
  <c r="K229" i="72" s="1"/>
  <c r="K131" i="83"/>
  <c r="K131" i="72" s="1"/>
  <c r="K201" i="72" s="1"/>
  <c r="K231" i="72" s="1"/>
  <c r="K127" i="83"/>
  <c r="K127" i="72" s="1"/>
  <c r="K197" i="72" s="1"/>
  <c r="K227" i="72" s="1"/>
  <c r="K132" i="83"/>
  <c r="K132" i="72" s="1"/>
  <c r="K202" i="72" s="1"/>
  <c r="K232" i="72" s="1"/>
  <c r="K123" i="83"/>
  <c r="K124" i="83"/>
  <c r="K130" i="83"/>
  <c r="K130" i="72" s="1"/>
  <c r="K200" i="72" s="1"/>
  <c r="K230" i="72" s="1"/>
  <c r="O291" i="53"/>
  <c r="O102" i="83" s="1"/>
  <c r="O190" i="83" s="1"/>
  <c r="O61" i="71" s="1"/>
  <c r="O272" i="53"/>
  <c r="O82" i="83" s="1"/>
  <c r="O153" i="83" s="1"/>
  <c r="O23" i="71" s="1"/>
  <c r="L131" i="83"/>
  <c r="L131" i="72" s="1"/>
  <c r="L201" i="72" s="1"/>
  <c r="L231" i="72" s="1"/>
  <c r="L126" i="83"/>
  <c r="L126" i="72" s="1"/>
  <c r="L196" i="72" s="1"/>
  <c r="L226" i="72" s="1"/>
  <c r="L123" i="83"/>
  <c r="L124" i="83"/>
  <c r="L132" i="83"/>
  <c r="L132" i="72" s="1"/>
  <c r="L202" i="72" s="1"/>
  <c r="L232" i="72" s="1"/>
  <c r="L130" i="83"/>
  <c r="L130" i="72" s="1"/>
  <c r="L200" i="72" s="1"/>
  <c r="L230" i="72" s="1"/>
  <c r="L125" i="83"/>
  <c r="L125" i="72" s="1"/>
  <c r="L195" i="72" s="1"/>
  <c r="L225" i="72" s="1"/>
  <c r="L127" i="83"/>
  <c r="L127" i="72" s="1"/>
  <c r="L197" i="72" s="1"/>
  <c r="L227" i="72" s="1"/>
  <c r="L129" i="83"/>
  <c r="L129" i="72" s="1"/>
  <c r="L199" i="72" s="1"/>
  <c r="L229" i="72" s="1"/>
  <c r="L128" i="83"/>
  <c r="L128" i="72" s="1"/>
  <c r="L198" i="72" s="1"/>
  <c r="L228" i="72" s="1"/>
  <c r="M129" i="83"/>
  <c r="M129" i="72" s="1"/>
  <c r="M199" i="72" s="1"/>
  <c r="M229" i="72" s="1"/>
  <c r="M132" i="83"/>
  <c r="M132" i="72" s="1"/>
  <c r="M202" i="72" s="1"/>
  <c r="M232" i="72" s="1"/>
  <c r="M131" i="83"/>
  <c r="M131" i="72" s="1"/>
  <c r="M201" i="72" s="1"/>
  <c r="M231" i="72" s="1"/>
  <c r="M125" i="83"/>
  <c r="M125" i="72" s="1"/>
  <c r="M195" i="72" s="1"/>
  <c r="M225" i="72" s="1"/>
  <c r="M123" i="83"/>
  <c r="M124" i="83"/>
  <c r="M126" i="83"/>
  <c r="M126" i="72" s="1"/>
  <c r="M196" i="72" s="1"/>
  <c r="M226" i="72" s="1"/>
  <c r="M130" i="83"/>
  <c r="M130" i="72" s="1"/>
  <c r="M200" i="72" s="1"/>
  <c r="M230" i="72" s="1"/>
  <c r="M128" i="83"/>
  <c r="M128" i="72" s="1"/>
  <c r="M198" i="72" s="1"/>
  <c r="M228" i="72" s="1"/>
  <c r="M127" i="83"/>
  <c r="M127" i="72" s="1"/>
  <c r="M197" i="72" s="1"/>
  <c r="M227" i="72" s="1"/>
  <c r="O279" i="53"/>
  <c r="O89" i="83" s="1"/>
  <c r="O160" i="83" s="1"/>
  <c r="O30" i="71" s="1"/>
  <c r="O274" i="53"/>
  <c r="O84" i="83" s="1"/>
  <c r="O155" i="83" s="1"/>
  <c r="O25" i="71" s="1"/>
  <c r="O283" i="53"/>
  <c r="O93" i="83" s="1"/>
  <c r="O181" i="83" s="1"/>
  <c r="O52" i="71" s="1"/>
  <c r="O157" i="71" s="1"/>
  <c r="O123" i="80"/>
  <c r="O135" i="80" s="1"/>
  <c r="O298" i="53"/>
  <c r="O120" i="80" s="1"/>
  <c r="O132" i="80" s="1"/>
  <c r="O273" i="53"/>
  <c r="O83" i="83" s="1"/>
  <c r="O154" i="83" s="1"/>
  <c r="O24" i="71" s="1"/>
  <c r="O302" i="53"/>
  <c r="O114" i="83" s="1"/>
  <c r="O219" i="83" s="1"/>
  <c r="O91" i="71" s="1"/>
  <c r="O300" i="53"/>
  <c r="O122" i="80" s="1"/>
  <c r="O134" i="80" s="1"/>
  <c r="S287" i="53"/>
  <c r="S98" i="83" s="1"/>
  <c r="S186" i="83" s="1"/>
  <c r="S57" i="71" s="1"/>
  <c r="S162" i="71" s="1"/>
  <c r="S273" i="53"/>
  <c r="S71" i="80" s="1"/>
  <c r="S83" i="80" s="1"/>
  <c r="O295" i="53"/>
  <c r="O117" i="80" s="1"/>
  <c r="O129" i="80" s="1"/>
  <c r="O297" i="53"/>
  <c r="O119" i="80" s="1"/>
  <c r="O131" i="80" s="1"/>
  <c r="O278" i="53"/>
  <c r="O88" i="83" s="1"/>
  <c r="O159" i="83" s="1"/>
  <c r="O29" i="71" s="1"/>
  <c r="O296" i="53"/>
  <c r="O108" i="83" s="1"/>
  <c r="O213" i="83" s="1"/>
  <c r="O85" i="71" s="1"/>
  <c r="S290" i="53"/>
  <c r="S100" i="80" s="1"/>
  <c r="S112" i="80" s="1"/>
  <c r="S298" i="53"/>
  <c r="S120" i="80" s="1"/>
  <c r="S132" i="80" s="1"/>
  <c r="S295" i="53"/>
  <c r="S117" i="80" s="1"/>
  <c r="S129" i="80" s="1"/>
  <c r="S299" i="53"/>
  <c r="S121" i="80" s="1"/>
  <c r="S133" i="80" s="1"/>
  <c r="S277" i="53"/>
  <c r="S75" i="80" s="1"/>
  <c r="S87" i="80" s="1"/>
  <c r="S272" i="53"/>
  <c r="S81" i="83" s="1"/>
  <c r="S152" i="83" s="1"/>
  <c r="S22" i="71" s="1"/>
  <c r="S127" i="71" s="1"/>
  <c r="S296" i="53"/>
  <c r="S118" i="80" s="1"/>
  <c r="S130" i="80" s="1"/>
  <c r="S279" i="53"/>
  <c r="S77" i="80" s="1"/>
  <c r="S89" i="80" s="1"/>
  <c r="S276" i="53"/>
  <c r="S86" i="83" s="1"/>
  <c r="S157" i="83" s="1"/>
  <c r="S27" i="71" s="1"/>
  <c r="S132" i="71" s="1"/>
  <c r="S274" i="53"/>
  <c r="S84" i="83" s="1"/>
  <c r="S155" i="83" s="1"/>
  <c r="S25" i="71" s="1"/>
  <c r="S130" i="71" s="1"/>
  <c r="S286" i="53"/>
  <c r="S97" i="83" s="1"/>
  <c r="S185" i="83" s="1"/>
  <c r="S56" i="71" s="1"/>
  <c r="S161" i="71" s="1"/>
  <c r="S289" i="53"/>
  <c r="S100" i="83" s="1"/>
  <c r="S188" i="83" s="1"/>
  <c r="S59" i="71" s="1"/>
  <c r="S164" i="71" s="1"/>
  <c r="S300" i="53"/>
  <c r="S112" i="83" s="1"/>
  <c r="S217" i="83" s="1"/>
  <c r="S89" i="71" s="1"/>
  <c r="S194" i="71" s="1"/>
  <c r="S285" i="53"/>
  <c r="S96" i="83" s="1"/>
  <c r="S184" i="83" s="1"/>
  <c r="S55" i="71" s="1"/>
  <c r="S160" i="71" s="1"/>
  <c r="S301" i="53"/>
  <c r="S113" i="83" s="1"/>
  <c r="S218" i="83" s="1"/>
  <c r="S90" i="71" s="1"/>
  <c r="S195" i="71" s="1"/>
  <c r="S283" i="53"/>
  <c r="S93" i="80" s="1"/>
  <c r="S105" i="80" s="1"/>
  <c r="S294" i="53"/>
  <c r="S106" i="83" s="1"/>
  <c r="S211" i="83" s="1"/>
  <c r="S83" i="71" s="1"/>
  <c r="S188" i="71" s="1"/>
  <c r="R277" i="53"/>
  <c r="R75" i="80" s="1"/>
  <c r="R87" i="80" s="1"/>
  <c r="R285" i="53"/>
  <c r="R95" i="80" s="1"/>
  <c r="R107" i="80" s="1"/>
  <c r="R297" i="53"/>
  <c r="R119" i="80" s="1"/>
  <c r="R131" i="80" s="1"/>
  <c r="R294" i="53"/>
  <c r="R106" i="83" s="1"/>
  <c r="R211" i="83" s="1"/>
  <c r="R83" i="71" s="1"/>
  <c r="R188" i="71" s="1"/>
  <c r="R287" i="53"/>
  <c r="R97" i="80" s="1"/>
  <c r="R109" i="80" s="1"/>
  <c r="R291" i="53"/>
  <c r="R102" i="83" s="1"/>
  <c r="R190" i="83" s="1"/>
  <c r="R61" i="71" s="1"/>
  <c r="R166" i="71" s="1"/>
  <c r="R300" i="53"/>
  <c r="R112" i="83" s="1"/>
  <c r="R217" i="83" s="1"/>
  <c r="R89" i="71" s="1"/>
  <c r="R194" i="71" s="1"/>
  <c r="R299" i="53"/>
  <c r="R111" i="83" s="1"/>
  <c r="R216" i="83" s="1"/>
  <c r="R88" i="71" s="1"/>
  <c r="R193" i="71" s="1"/>
  <c r="R289" i="53"/>
  <c r="R100" i="83" s="1"/>
  <c r="R188" i="83" s="1"/>
  <c r="R59" i="71" s="1"/>
  <c r="R164" i="71" s="1"/>
  <c r="R278" i="53"/>
  <c r="R76" i="80" s="1"/>
  <c r="R88" i="80" s="1"/>
  <c r="R286" i="53"/>
  <c r="R96" i="80" s="1"/>
  <c r="R108" i="80" s="1"/>
  <c r="R301" i="53"/>
  <c r="R123" i="80" s="1"/>
  <c r="R135" i="80" s="1"/>
  <c r="R296" i="53"/>
  <c r="R118" i="80" s="1"/>
  <c r="R130" i="80" s="1"/>
  <c r="R288" i="53"/>
  <c r="R98" i="80" s="1"/>
  <c r="R110" i="80" s="1"/>
  <c r="R295" i="53"/>
  <c r="R117" i="80" s="1"/>
  <c r="R129" i="80" s="1"/>
  <c r="R274" i="53"/>
  <c r="R72" i="80" s="1"/>
  <c r="R84" i="80" s="1"/>
  <c r="R276" i="53"/>
  <c r="R74" i="80" s="1"/>
  <c r="R86" i="80" s="1"/>
  <c r="R284" i="53"/>
  <c r="R95" i="83" s="1"/>
  <c r="R183" i="83" s="1"/>
  <c r="R54" i="71" s="1"/>
  <c r="R159" i="71" s="1"/>
  <c r="R290" i="53"/>
  <c r="R100" i="80" s="1"/>
  <c r="R112" i="80" s="1"/>
  <c r="R275" i="53"/>
  <c r="R73" i="80" s="1"/>
  <c r="R85" i="80" s="1"/>
  <c r="S297" i="53"/>
  <c r="S119" i="80" s="1"/>
  <c r="S131" i="80" s="1"/>
  <c r="S284" i="53"/>
  <c r="S95" i="83" s="1"/>
  <c r="S183" i="83" s="1"/>
  <c r="S54" i="71" s="1"/>
  <c r="S159" i="71" s="1"/>
  <c r="S278" i="53"/>
  <c r="S76" i="80" s="1"/>
  <c r="S88" i="80" s="1"/>
  <c r="S302" i="53"/>
  <c r="S124" i="80" s="1"/>
  <c r="S136" i="80" s="1"/>
  <c r="S291" i="53"/>
  <c r="S102" i="83" s="1"/>
  <c r="S190" i="83" s="1"/>
  <c r="S61" i="71" s="1"/>
  <c r="S166" i="71" s="1"/>
  <c r="S280" i="53"/>
  <c r="S78" i="80" s="1"/>
  <c r="S90" i="80" s="1"/>
  <c r="R280" i="53"/>
  <c r="R78" i="80" s="1"/>
  <c r="R90" i="80" s="1"/>
  <c r="R302" i="53"/>
  <c r="R114" i="83" s="1"/>
  <c r="R219" i="83" s="1"/>
  <c r="R91" i="71" s="1"/>
  <c r="R196" i="71" s="1"/>
  <c r="R283" i="53"/>
  <c r="R94" i="83" s="1"/>
  <c r="R182" i="83" s="1"/>
  <c r="R53" i="71" s="1"/>
  <c r="R158" i="71" s="1"/>
  <c r="R279" i="53"/>
  <c r="R77" i="80" s="1"/>
  <c r="R89" i="80" s="1"/>
  <c r="R272" i="53"/>
  <c r="R82" i="83" s="1"/>
  <c r="R153" i="83" s="1"/>
  <c r="R23" i="71" s="1"/>
  <c r="R128" i="71" s="1"/>
  <c r="R298" i="53"/>
  <c r="R110" i="83" s="1"/>
  <c r="R215" i="83" s="1"/>
  <c r="R87" i="71" s="1"/>
  <c r="R192" i="71" s="1"/>
  <c r="O276" i="53"/>
  <c r="O86" i="83" s="1"/>
  <c r="O157" i="83" s="1"/>
  <c r="O27" i="71" s="1"/>
  <c r="R130" i="83"/>
  <c r="R130" i="72" s="1"/>
  <c r="R200" i="72" s="1"/>
  <c r="R230" i="72" s="1"/>
  <c r="R126" i="83"/>
  <c r="R126" i="72" s="1"/>
  <c r="R196" i="72" s="1"/>
  <c r="R226" i="72" s="1"/>
  <c r="R132" i="83"/>
  <c r="R132" i="72" s="1"/>
  <c r="R202" i="72" s="1"/>
  <c r="R232" i="72" s="1"/>
  <c r="R123" i="83"/>
  <c r="R129" i="83"/>
  <c r="R129" i="72" s="1"/>
  <c r="R199" i="72" s="1"/>
  <c r="R229" i="72" s="1"/>
  <c r="R125" i="83"/>
  <c r="R125" i="72" s="1"/>
  <c r="R195" i="72" s="1"/>
  <c r="R225" i="72" s="1"/>
  <c r="R128" i="83"/>
  <c r="R128" i="72" s="1"/>
  <c r="R198" i="72" s="1"/>
  <c r="R228" i="72" s="1"/>
  <c r="R131" i="83"/>
  <c r="R131" i="72" s="1"/>
  <c r="R201" i="72" s="1"/>
  <c r="R231" i="72" s="1"/>
  <c r="R124" i="83"/>
  <c r="R127" i="83"/>
  <c r="R127" i="72" s="1"/>
  <c r="R197" i="72" s="1"/>
  <c r="R227" i="72" s="1"/>
  <c r="S130" i="83"/>
  <c r="S130" i="72" s="1"/>
  <c r="S200" i="72" s="1"/>
  <c r="S230" i="72" s="1"/>
  <c r="S131" i="83"/>
  <c r="S131" i="72" s="1"/>
  <c r="S201" i="72" s="1"/>
  <c r="S231" i="72" s="1"/>
  <c r="S129" i="83"/>
  <c r="S129" i="72" s="1"/>
  <c r="S199" i="72" s="1"/>
  <c r="S229" i="72" s="1"/>
  <c r="S126" i="83"/>
  <c r="S126" i="72" s="1"/>
  <c r="S196" i="72" s="1"/>
  <c r="S226" i="72" s="1"/>
  <c r="S127" i="83"/>
  <c r="S127" i="72" s="1"/>
  <c r="S197" i="72" s="1"/>
  <c r="S227" i="72" s="1"/>
  <c r="S132" i="83"/>
  <c r="S132" i="72" s="1"/>
  <c r="S202" i="72" s="1"/>
  <c r="S232" i="72" s="1"/>
  <c r="S128" i="83"/>
  <c r="S128" i="72" s="1"/>
  <c r="S198" i="72" s="1"/>
  <c r="S228" i="72" s="1"/>
  <c r="S125" i="83"/>
  <c r="S125" i="72" s="1"/>
  <c r="S195" i="72" s="1"/>
  <c r="S225" i="72" s="1"/>
  <c r="S123" i="83"/>
  <c r="S124" i="83"/>
  <c r="O128" i="83"/>
  <c r="O128" i="72" s="1"/>
  <c r="O198" i="72" s="1"/>
  <c r="O228" i="72" s="1"/>
  <c r="O124" i="83"/>
  <c r="O123" i="83"/>
  <c r="O132" i="83"/>
  <c r="O132" i="72" s="1"/>
  <c r="O202" i="72" s="1"/>
  <c r="O232" i="72" s="1"/>
  <c r="O129" i="83"/>
  <c r="O129" i="72" s="1"/>
  <c r="O199" i="72" s="1"/>
  <c r="O229" i="72" s="1"/>
  <c r="O126" i="83"/>
  <c r="O126" i="72" s="1"/>
  <c r="O196" i="72" s="1"/>
  <c r="O226" i="72" s="1"/>
  <c r="O130" i="83"/>
  <c r="O130" i="72" s="1"/>
  <c r="O200" i="72" s="1"/>
  <c r="O230" i="72" s="1"/>
  <c r="O131" i="83"/>
  <c r="O131" i="72" s="1"/>
  <c r="O201" i="72" s="1"/>
  <c r="O231" i="72" s="1"/>
  <c r="O127" i="83"/>
  <c r="O127" i="72" s="1"/>
  <c r="O197" i="72" s="1"/>
  <c r="O227" i="72" s="1"/>
  <c r="O125" i="83"/>
  <c r="O125" i="72" s="1"/>
  <c r="O195" i="72" s="1"/>
  <c r="O225" i="72" s="1"/>
  <c r="P126" i="83"/>
  <c r="P126" i="72" s="1"/>
  <c r="P196" i="72" s="1"/>
  <c r="P226" i="72" s="1"/>
  <c r="P124" i="83"/>
  <c r="P128" i="83"/>
  <c r="P128" i="72" s="1"/>
  <c r="P198" i="72" s="1"/>
  <c r="P228" i="72" s="1"/>
  <c r="P123" i="83"/>
  <c r="P131" i="83"/>
  <c r="P131" i="72" s="1"/>
  <c r="P201" i="72" s="1"/>
  <c r="P231" i="72" s="1"/>
  <c r="P130" i="83"/>
  <c r="P130" i="72" s="1"/>
  <c r="P200" i="72" s="1"/>
  <c r="P230" i="72" s="1"/>
  <c r="P132" i="83"/>
  <c r="P132" i="72" s="1"/>
  <c r="P202" i="72" s="1"/>
  <c r="P232" i="72" s="1"/>
  <c r="P129" i="83"/>
  <c r="P129" i="72" s="1"/>
  <c r="P199" i="72" s="1"/>
  <c r="P229" i="72" s="1"/>
  <c r="P127" i="83"/>
  <c r="P127" i="72" s="1"/>
  <c r="P197" i="72" s="1"/>
  <c r="P227" i="72" s="1"/>
  <c r="P125" i="83"/>
  <c r="P125" i="72" s="1"/>
  <c r="P195" i="72" s="1"/>
  <c r="P225" i="72" s="1"/>
  <c r="P102" i="83"/>
  <c r="P190" i="83" s="1"/>
  <c r="P61" i="71" s="1"/>
  <c r="S85" i="83"/>
  <c r="S156" i="83" s="1"/>
  <c r="S26" i="71" s="1"/>
  <c r="S131" i="71" s="1"/>
  <c r="S73" i="80"/>
  <c r="S85" i="80" s="1"/>
  <c r="P108" i="83"/>
  <c r="P213" i="83" s="1"/>
  <c r="P85" i="71" s="1"/>
  <c r="P118" i="80"/>
  <c r="P130" i="80" s="1"/>
  <c r="R71" i="80"/>
  <c r="R83" i="80" s="1"/>
  <c r="R83" i="83"/>
  <c r="R154" i="83" s="1"/>
  <c r="R24" i="71" s="1"/>
  <c r="R129" i="71" s="1"/>
  <c r="H214" i="80"/>
  <c r="H226" i="80" s="1"/>
  <c r="H221" i="80"/>
  <c r="H233" i="80" s="1"/>
  <c r="H217" i="80"/>
  <c r="H229" i="80" s="1"/>
  <c r="H219" i="80"/>
  <c r="H231" i="80" s="1"/>
  <c r="H220" i="80"/>
  <c r="H232" i="80" s="1"/>
  <c r="H222" i="80"/>
  <c r="H218" i="80"/>
  <c r="H230" i="80" s="1"/>
  <c r="H215" i="80"/>
  <c r="H227" i="80" s="1"/>
  <c r="H216" i="80"/>
  <c r="H228" i="80" s="1"/>
  <c r="M87" i="83"/>
  <c r="M158" i="83" s="1"/>
  <c r="M28" i="71" s="1"/>
  <c r="M133" i="71" s="1"/>
  <c r="U148" i="80"/>
  <c r="U174" i="80" s="1"/>
  <c r="V144" i="80"/>
  <c r="V170" i="80" s="1"/>
  <c r="U142" i="80"/>
  <c r="U168" i="80" s="1"/>
  <c r="J39" i="55"/>
  <c r="A4" i="31"/>
  <c r="V143" i="80"/>
  <c r="V169" i="80" s="1"/>
  <c r="V150" i="80"/>
  <c r="V208" i="80" s="1"/>
  <c r="L112" i="83"/>
  <c r="L217" i="83" s="1"/>
  <c r="L89" i="71" s="1"/>
  <c r="L194" i="71" s="1"/>
  <c r="U146" i="80"/>
  <c r="U172" i="80" s="1"/>
  <c r="V142" i="80"/>
  <c r="V168" i="80" s="1"/>
  <c r="V22" i="71"/>
  <c r="V148" i="80"/>
  <c r="V174" i="80" s="1"/>
  <c r="T96" i="83"/>
  <c r="T184" i="83" s="1"/>
  <c r="T95" i="80"/>
  <c r="T107" i="80" s="1"/>
  <c r="T109" i="83"/>
  <c r="T214" i="83" s="1"/>
  <c r="T119" i="80"/>
  <c r="T131" i="80" s="1"/>
  <c r="T82" i="83"/>
  <c r="T153" i="83" s="1"/>
  <c r="T81" i="83"/>
  <c r="T152" i="83" s="1"/>
  <c r="T22" i="71" s="1"/>
  <c r="T127" i="71" s="1"/>
  <c r="T70" i="80"/>
  <c r="T82" i="80" s="1"/>
  <c r="T99" i="83"/>
  <c r="T187" i="83" s="1"/>
  <c r="T98" i="80"/>
  <c r="T110" i="80" s="1"/>
  <c r="T94" i="83"/>
  <c r="T182" i="83" s="1"/>
  <c r="T93" i="83"/>
  <c r="T181" i="83" s="1"/>
  <c r="T93" i="80"/>
  <c r="T105" i="80" s="1"/>
  <c r="T89" i="83"/>
  <c r="T160" i="83" s="1"/>
  <c r="T77" i="80"/>
  <c r="T89" i="80" s="1"/>
  <c r="T114" i="83"/>
  <c r="T219" i="83" s="1"/>
  <c r="T124" i="80"/>
  <c r="T136" i="80" s="1"/>
  <c r="V146" i="80"/>
  <c r="V172" i="80" s="1"/>
  <c r="L84" i="83"/>
  <c r="L155" i="83" s="1"/>
  <c r="L25" i="71" s="1"/>
  <c r="L130" i="71" s="1"/>
  <c r="L72" i="80"/>
  <c r="L84" i="80" s="1"/>
  <c r="U145" i="80"/>
  <c r="U171" i="80" s="1"/>
  <c r="U150" i="80"/>
  <c r="U149" i="80"/>
  <c r="U175" i="80" s="1"/>
  <c r="T102" i="83"/>
  <c r="T190" i="83" s="1"/>
  <c r="T101" i="80"/>
  <c r="T113" i="80" s="1"/>
  <c r="T111" i="83"/>
  <c r="T216" i="83" s="1"/>
  <c r="T121" i="80"/>
  <c r="T133" i="80" s="1"/>
  <c r="T84" i="83"/>
  <c r="T155" i="83" s="1"/>
  <c r="T72" i="80"/>
  <c r="T84" i="80" s="1"/>
  <c r="T98" i="83"/>
  <c r="T186" i="83" s="1"/>
  <c r="T97" i="80"/>
  <c r="T109" i="80" s="1"/>
  <c r="T86" i="83"/>
  <c r="T157" i="83" s="1"/>
  <c r="T74" i="80"/>
  <c r="T86" i="80" s="1"/>
  <c r="T113" i="83"/>
  <c r="T218" i="83" s="1"/>
  <c r="T123" i="80"/>
  <c r="T135" i="80" s="1"/>
  <c r="T90" i="83"/>
  <c r="T161" i="83" s="1"/>
  <c r="T78" i="80"/>
  <c r="T90" i="80" s="1"/>
  <c r="U143" i="80"/>
  <c r="U169" i="80" s="1"/>
  <c r="U147" i="80"/>
  <c r="U173" i="80" s="1"/>
  <c r="V145" i="80"/>
  <c r="V171" i="80" s="1"/>
  <c r="T110" i="83"/>
  <c r="T215" i="83" s="1"/>
  <c r="T120" i="80"/>
  <c r="T132" i="80" s="1"/>
  <c r="T101" i="83"/>
  <c r="T189" i="83" s="1"/>
  <c r="T100" i="80"/>
  <c r="T112" i="80" s="1"/>
  <c r="T87" i="83"/>
  <c r="T158" i="83" s="1"/>
  <c r="T75" i="80"/>
  <c r="T87" i="80" s="1"/>
  <c r="T107" i="83"/>
  <c r="T212" i="83" s="1"/>
  <c r="T117" i="80"/>
  <c r="T129" i="80" s="1"/>
  <c r="T97" i="83"/>
  <c r="T185" i="83" s="1"/>
  <c r="T96" i="80"/>
  <c r="T108" i="80" s="1"/>
  <c r="T112" i="83"/>
  <c r="T217" i="83" s="1"/>
  <c r="T122" i="80"/>
  <c r="T134" i="80" s="1"/>
  <c r="T88" i="83"/>
  <c r="T159" i="83" s="1"/>
  <c r="T76" i="80"/>
  <c r="T88" i="80" s="1"/>
  <c r="V147" i="80"/>
  <c r="V173" i="80" s="1"/>
  <c r="K82" i="83"/>
  <c r="K153" i="83" s="1"/>
  <c r="K23" i="71" s="1"/>
  <c r="K128" i="71" s="1"/>
  <c r="K81" i="83"/>
  <c r="K152" i="83" s="1"/>
  <c r="K70" i="80"/>
  <c r="K82" i="80" s="1"/>
  <c r="V149" i="80"/>
  <c r="V175" i="80" s="1"/>
  <c r="T108" i="83"/>
  <c r="T213" i="83" s="1"/>
  <c r="T118" i="80"/>
  <c r="T130" i="80" s="1"/>
  <c r="T106" i="83"/>
  <c r="T211" i="83" s="1"/>
  <c r="T105" i="83"/>
  <c r="T210" i="83" s="1"/>
  <c r="T116" i="80"/>
  <c r="T128" i="80" s="1"/>
  <c r="T100" i="83"/>
  <c r="T188" i="83" s="1"/>
  <c r="T99" i="80"/>
  <c r="T111" i="80" s="1"/>
  <c r="T83" i="83"/>
  <c r="T154" i="83" s="1"/>
  <c r="T71" i="80"/>
  <c r="T83" i="80" s="1"/>
  <c r="T95" i="83"/>
  <c r="T183" i="83" s="1"/>
  <c r="T94" i="80"/>
  <c r="T106" i="80" s="1"/>
  <c r="T85" i="83"/>
  <c r="T156" i="83" s="1"/>
  <c r="T73" i="80"/>
  <c r="T85" i="80" s="1"/>
  <c r="U144" i="80"/>
  <c r="U170" i="80" s="1"/>
  <c r="U98" i="105"/>
  <c r="O98" i="105"/>
  <c r="U193" i="71"/>
  <c r="U165" i="71"/>
  <c r="U160" i="71"/>
  <c r="P98" i="105"/>
  <c r="U195" i="71"/>
  <c r="U194" i="71"/>
  <c r="U188" i="71"/>
  <c r="U164" i="71"/>
  <c r="U136" i="71"/>
  <c r="U161" i="71"/>
  <c r="U132" i="71"/>
  <c r="U159" i="71"/>
  <c r="O100" i="105"/>
  <c r="P100" i="105"/>
  <c r="U187" i="71"/>
  <c r="U128" i="71"/>
  <c r="U108" i="105"/>
  <c r="U131" i="71"/>
  <c r="U162" i="71"/>
  <c r="U189" i="71"/>
  <c r="U163" i="71"/>
  <c r="U129" i="71"/>
  <c r="U134" i="71"/>
  <c r="U133" i="71"/>
  <c r="U158" i="71"/>
  <c r="U190" i="71"/>
  <c r="U192" i="71"/>
  <c r="U166" i="71"/>
  <c r="U135" i="71"/>
  <c r="U196" i="71"/>
  <c r="U191" i="71"/>
  <c r="U157" i="71"/>
  <c r="U130" i="71"/>
  <c r="K87" i="83" l="1"/>
  <c r="K158" i="83" s="1"/>
  <c r="K28" i="71" s="1"/>
  <c r="K133" i="71" s="1"/>
  <c r="M121" i="80"/>
  <c r="M133" i="80" s="1"/>
  <c r="L93" i="80"/>
  <c r="L105" i="80" s="1"/>
  <c r="L75" i="80"/>
  <c r="L87" i="80" s="1"/>
  <c r="K112" i="83"/>
  <c r="K217" i="83" s="1"/>
  <c r="K89" i="71" s="1"/>
  <c r="K194" i="71" s="1"/>
  <c r="K121" i="80"/>
  <c r="K133" i="80" s="1"/>
  <c r="M98" i="80"/>
  <c r="M110" i="80" s="1"/>
  <c r="L109" i="83"/>
  <c r="L214" i="83" s="1"/>
  <c r="L86" i="71" s="1"/>
  <c r="L191" i="71" s="1"/>
  <c r="L99" i="80"/>
  <c r="L111" i="80" s="1"/>
  <c r="L101" i="80"/>
  <c r="L113" i="80" s="1"/>
  <c r="L120" i="80"/>
  <c r="L132" i="80" s="1"/>
  <c r="K108" i="83"/>
  <c r="K213" i="83" s="1"/>
  <c r="K85" i="71" s="1"/>
  <c r="K190" i="71" s="1"/>
  <c r="L123" i="80"/>
  <c r="L135" i="80" s="1"/>
  <c r="K97" i="83"/>
  <c r="K185" i="83" s="1"/>
  <c r="K56" i="71" s="1"/>
  <c r="K161" i="71" s="1"/>
  <c r="P95" i="80"/>
  <c r="P107" i="80" s="1"/>
  <c r="P144" i="80" s="1"/>
  <c r="P170" i="80" s="1"/>
  <c r="L124" i="80"/>
  <c r="L136" i="80" s="1"/>
  <c r="K123" i="80"/>
  <c r="K135" i="80" s="1"/>
  <c r="K102" i="83"/>
  <c r="K190" i="83" s="1"/>
  <c r="K61" i="71" s="1"/>
  <c r="K166" i="71" s="1"/>
  <c r="P117" i="80"/>
  <c r="P129" i="80" s="1"/>
  <c r="L94" i="83"/>
  <c r="L182" i="83" s="1"/>
  <c r="L53" i="71" s="1"/>
  <c r="L158" i="71" s="1"/>
  <c r="P82" i="83"/>
  <c r="P153" i="83" s="1"/>
  <c r="P23" i="71" s="1"/>
  <c r="P128" i="71" s="1"/>
  <c r="K98" i="80"/>
  <c r="K110" i="80" s="1"/>
  <c r="K147" i="80" s="1"/>
  <c r="K173" i="80" s="1"/>
  <c r="L117" i="80"/>
  <c r="L129" i="80" s="1"/>
  <c r="K86" i="83"/>
  <c r="K157" i="83" s="1"/>
  <c r="K27" i="71" s="1"/>
  <c r="K132" i="71" s="1"/>
  <c r="K94" i="80"/>
  <c r="K106" i="80" s="1"/>
  <c r="K78" i="80"/>
  <c r="K90" i="80" s="1"/>
  <c r="K124" i="80"/>
  <c r="K136" i="80" s="1"/>
  <c r="P98" i="80"/>
  <c r="P110" i="80" s="1"/>
  <c r="P94" i="83"/>
  <c r="P182" i="83" s="1"/>
  <c r="P53" i="71" s="1"/>
  <c r="P158" i="71" s="1"/>
  <c r="P120" i="80"/>
  <c r="P132" i="80" s="1"/>
  <c r="P73" i="80"/>
  <c r="P85" i="80" s="1"/>
  <c r="P78" i="80"/>
  <c r="P90" i="80" s="1"/>
  <c r="P84" i="83"/>
  <c r="P155" i="83" s="1"/>
  <c r="P25" i="71" s="1"/>
  <c r="P130" i="71" s="1"/>
  <c r="P113" i="83"/>
  <c r="P218" i="83" s="1"/>
  <c r="P90" i="71" s="1"/>
  <c r="P106" i="83"/>
  <c r="P211" i="83" s="1"/>
  <c r="P83" i="71" s="1"/>
  <c r="P188" i="71" s="1"/>
  <c r="P77" i="80"/>
  <c r="P89" i="80" s="1"/>
  <c r="P149" i="80" s="1"/>
  <c r="P175" i="80" s="1"/>
  <c r="P122" i="80"/>
  <c r="P134" i="80" s="1"/>
  <c r="P101" i="83"/>
  <c r="P189" i="83" s="1"/>
  <c r="P60" i="71" s="1"/>
  <c r="P165" i="71" s="1"/>
  <c r="P116" i="80"/>
  <c r="P128" i="80" s="1"/>
  <c r="P70" i="80"/>
  <c r="P82" i="80" s="1"/>
  <c r="P71" i="80"/>
  <c r="P83" i="80" s="1"/>
  <c r="P95" i="83"/>
  <c r="P183" i="83" s="1"/>
  <c r="P54" i="71" s="1"/>
  <c r="P159" i="71" s="1"/>
  <c r="P93" i="83"/>
  <c r="P181" i="83" s="1"/>
  <c r="P52" i="71" s="1"/>
  <c r="P157" i="71" s="1"/>
  <c r="O97" i="80"/>
  <c r="O109" i="80" s="1"/>
  <c r="P75" i="80"/>
  <c r="P87" i="80" s="1"/>
  <c r="P97" i="83"/>
  <c r="P185" i="83" s="1"/>
  <c r="P56" i="71" s="1"/>
  <c r="P161" i="71" s="1"/>
  <c r="O78" i="80"/>
  <c r="O90" i="80" s="1"/>
  <c r="S99" i="83"/>
  <c r="S187" i="83" s="1"/>
  <c r="S58" i="71" s="1"/>
  <c r="S163" i="71" s="1"/>
  <c r="P121" i="80"/>
  <c r="P133" i="80" s="1"/>
  <c r="P99" i="80"/>
  <c r="P111" i="80" s="1"/>
  <c r="P119" i="80"/>
  <c r="P131" i="80" s="1"/>
  <c r="P97" i="80"/>
  <c r="P109" i="80" s="1"/>
  <c r="P124" i="80"/>
  <c r="P136" i="80" s="1"/>
  <c r="O106" i="83"/>
  <c r="O211" i="83" s="1"/>
  <c r="O83" i="71" s="1"/>
  <c r="O188" i="71" s="1"/>
  <c r="O96" i="83"/>
  <c r="O184" i="83" s="1"/>
  <c r="O55" i="71" s="1"/>
  <c r="O160" i="71" s="1"/>
  <c r="O87" i="83"/>
  <c r="O158" i="83" s="1"/>
  <c r="O28" i="71" s="1"/>
  <c r="O100" i="80"/>
  <c r="O112" i="80" s="1"/>
  <c r="O105" i="83"/>
  <c r="O210" i="83" s="1"/>
  <c r="O82" i="71" s="1"/>
  <c r="O70" i="80"/>
  <c r="O82" i="80" s="1"/>
  <c r="P74" i="80"/>
  <c r="P86" i="80" s="1"/>
  <c r="P76" i="80"/>
  <c r="P88" i="80" s="1"/>
  <c r="O100" i="83"/>
  <c r="O188" i="83" s="1"/>
  <c r="O59" i="71" s="1"/>
  <c r="O98" i="80"/>
  <c r="O110" i="80" s="1"/>
  <c r="R97" i="83"/>
  <c r="R185" i="83" s="1"/>
  <c r="R56" i="71" s="1"/>
  <c r="R161" i="71" s="1"/>
  <c r="R101" i="83"/>
  <c r="R189" i="83" s="1"/>
  <c r="R60" i="71" s="1"/>
  <c r="R165" i="71" s="1"/>
  <c r="O121" i="80"/>
  <c r="O133" i="80" s="1"/>
  <c r="R70" i="80"/>
  <c r="R82" i="80" s="1"/>
  <c r="O72" i="80"/>
  <c r="O84" i="80" s="1"/>
  <c r="O94" i="80"/>
  <c r="O106" i="80" s="1"/>
  <c r="O110" i="83"/>
  <c r="O215" i="83" s="1"/>
  <c r="O87" i="71" s="1"/>
  <c r="O73" i="80"/>
  <c r="O85" i="80" s="1"/>
  <c r="O145" i="80" s="1"/>
  <c r="O171" i="80" s="1"/>
  <c r="S88" i="83"/>
  <c r="S159" i="83" s="1"/>
  <c r="S29" i="71" s="1"/>
  <c r="S134" i="71" s="1"/>
  <c r="S94" i="83"/>
  <c r="S182" i="83" s="1"/>
  <c r="S53" i="71" s="1"/>
  <c r="S158" i="71" s="1"/>
  <c r="O101" i="80"/>
  <c r="O113" i="80" s="1"/>
  <c r="O97" i="83"/>
  <c r="O185" i="83" s="1"/>
  <c r="O56" i="71" s="1"/>
  <c r="O161" i="71" s="1"/>
  <c r="O93" i="80"/>
  <c r="O105" i="80" s="1"/>
  <c r="O77" i="80"/>
  <c r="O89" i="80" s="1"/>
  <c r="O149" i="80" s="1"/>
  <c r="O175" i="80" s="1"/>
  <c r="O112" i="83"/>
  <c r="O217" i="83" s="1"/>
  <c r="O89" i="71" s="1"/>
  <c r="O81" i="83"/>
  <c r="O152" i="83" s="1"/>
  <c r="O22" i="71" s="1"/>
  <c r="O127" i="71" s="1"/>
  <c r="R109" i="83"/>
  <c r="R214" i="83" s="1"/>
  <c r="R86" i="71" s="1"/>
  <c r="R191" i="71" s="1"/>
  <c r="S99" i="80"/>
  <c r="S111" i="80" s="1"/>
  <c r="O94" i="83"/>
  <c r="O182" i="83" s="1"/>
  <c r="O53" i="71" s="1"/>
  <c r="O158" i="71" s="1"/>
  <c r="S89" i="83"/>
  <c r="S160" i="83" s="1"/>
  <c r="S30" i="71" s="1"/>
  <c r="S135" i="71" s="1"/>
  <c r="O118" i="80"/>
  <c r="O130" i="80" s="1"/>
  <c r="O144" i="80" s="1"/>
  <c r="O170" i="80" s="1"/>
  <c r="R81" i="83"/>
  <c r="R152" i="83" s="1"/>
  <c r="R22" i="71" s="1"/>
  <c r="R127" i="71" s="1"/>
  <c r="S111" i="83"/>
  <c r="S216" i="83" s="1"/>
  <c r="S88" i="71" s="1"/>
  <c r="S193" i="71" s="1"/>
  <c r="S93" i="83"/>
  <c r="S181" i="83" s="1"/>
  <c r="S52" i="71" s="1"/>
  <c r="S157" i="71" s="1"/>
  <c r="O71" i="80"/>
  <c r="O83" i="80" s="1"/>
  <c r="R90" i="83"/>
  <c r="R161" i="83" s="1"/>
  <c r="R31" i="71" s="1"/>
  <c r="R136" i="71" s="1"/>
  <c r="S83" i="83"/>
  <c r="S154" i="83" s="1"/>
  <c r="S24" i="71" s="1"/>
  <c r="S129" i="71" s="1"/>
  <c r="R122" i="80"/>
  <c r="R134" i="80" s="1"/>
  <c r="R107" i="83"/>
  <c r="R212" i="83" s="1"/>
  <c r="R84" i="71" s="1"/>
  <c r="R189" i="71" s="1"/>
  <c r="O124" i="80"/>
  <c r="O136" i="80" s="1"/>
  <c r="S97" i="80"/>
  <c r="S109" i="80" s="1"/>
  <c r="O76" i="80"/>
  <c r="O88" i="80" s="1"/>
  <c r="O148" i="80" s="1"/>
  <c r="O174" i="80" s="1"/>
  <c r="S107" i="83"/>
  <c r="S212" i="83" s="1"/>
  <c r="S84" i="71" s="1"/>
  <c r="S189" i="71" s="1"/>
  <c r="S122" i="80"/>
  <c r="S134" i="80" s="1"/>
  <c r="S148" i="80" s="1"/>
  <c r="S174" i="80" s="1"/>
  <c r="R116" i="80"/>
  <c r="R128" i="80" s="1"/>
  <c r="S74" i="80"/>
  <c r="S86" i="80" s="1"/>
  <c r="R121" i="80"/>
  <c r="R133" i="80" s="1"/>
  <c r="R147" i="80" s="1"/>
  <c r="R173" i="80" s="1"/>
  <c r="R105" i="83"/>
  <c r="R210" i="83" s="1"/>
  <c r="R82" i="71" s="1"/>
  <c r="R187" i="71" s="1"/>
  <c r="R120" i="80"/>
  <c r="R132" i="80" s="1"/>
  <c r="R146" i="80" s="1"/>
  <c r="R172" i="80" s="1"/>
  <c r="R124" i="80"/>
  <c r="R136" i="80" s="1"/>
  <c r="S101" i="83"/>
  <c r="S189" i="83" s="1"/>
  <c r="S60" i="71" s="1"/>
  <c r="S165" i="71" s="1"/>
  <c r="S114" i="83"/>
  <c r="S219" i="83" s="1"/>
  <c r="S91" i="71" s="1"/>
  <c r="S196" i="71" s="1"/>
  <c r="R113" i="83"/>
  <c r="R218" i="83" s="1"/>
  <c r="R90" i="71" s="1"/>
  <c r="R195" i="71" s="1"/>
  <c r="R85" i="83"/>
  <c r="R156" i="83" s="1"/>
  <c r="R26" i="71" s="1"/>
  <c r="R131" i="71" s="1"/>
  <c r="R84" i="83"/>
  <c r="R155" i="83" s="1"/>
  <c r="R25" i="71" s="1"/>
  <c r="R130" i="71" s="1"/>
  <c r="S116" i="80"/>
  <c r="S128" i="80" s="1"/>
  <c r="S105" i="83"/>
  <c r="S210" i="83" s="1"/>
  <c r="S82" i="71" s="1"/>
  <c r="S187" i="71" s="1"/>
  <c r="S87" i="83"/>
  <c r="S158" i="83" s="1"/>
  <c r="S28" i="71" s="1"/>
  <c r="S133" i="71" s="1"/>
  <c r="S72" i="80"/>
  <c r="S84" i="80" s="1"/>
  <c r="R93" i="80"/>
  <c r="R105" i="80" s="1"/>
  <c r="R87" i="83"/>
  <c r="R158" i="83" s="1"/>
  <c r="R28" i="71" s="1"/>
  <c r="R133" i="71" s="1"/>
  <c r="S82" i="83"/>
  <c r="S153" i="83" s="1"/>
  <c r="S23" i="71" s="1"/>
  <c r="S128" i="71" s="1"/>
  <c r="R98" i="83"/>
  <c r="R186" i="83" s="1"/>
  <c r="R57" i="71" s="1"/>
  <c r="R162" i="71" s="1"/>
  <c r="S70" i="80"/>
  <c r="S82" i="80" s="1"/>
  <c r="S142" i="80" s="1"/>
  <c r="S168" i="80" s="1"/>
  <c r="O107" i="83"/>
  <c r="O212" i="83" s="1"/>
  <c r="O84" i="71" s="1"/>
  <c r="O109" i="83"/>
  <c r="O214" i="83" s="1"/>
  <c r="O86" i="71" s="1"/>
  <c r="O191" i="71" s="1"/>
  <c r="S110" i="83"/>
  <c r="S215" i="83" s="1"/>
  <c r="S87" i="71" s="1"/>
  <c r="S192" i="71" s="1"/>
  <c r="S95" i="80"/>
  <c r="S107" i="80" s="1"/>
  <c r="R89" i="83"/>
  <c r="R160" i="83" s="1"/>
  <c r="R30" i="71" s="1"/>
  <c r="R135" i="71" s="1"/>
  <c r="S108" i="83"/>
  <c r="S213" i="83" s="1"/>
  <c r="S85" i="71" s="1"/>
  <c r="S190" i="71" s="1"/>
  <c r="R94" i="80"/>
  <c r="R106" i="80" s="1"/>
  <c r="R143" i="80" s="1"/>
  <c r="R169" i="80" s="1"/>
  <c r="S96" i="80"/>
  <c r="S108" i="80" s="1"/>
  <c r="S145" i="80" s="1"/>
  <c r="S171" i="80" s="1"/>
  <c r="S90" i="83"/>
  <c r="S161" i="83" s="1"/>
  <c r="S31" i="71" s="1"/>
  <c r="S136" i="71" s="1"/>
  <c r="S94" i="80"/>
  <c r="S106" i="80" s="1"/>
  <c r="S143" i="80" s="1"/>
  <c r="S169" i="80" s="1"/>
  <c r="R99" i="83"/>
  <c r="R187" i="83" s="1"/>
  <c r="R58" i="71" s="1"/>
  <c r="R163" i="71" s="1"/>
  <c r="R93" i="83"/>
  <c r="R181" i="83" s="1"/>
  <c r="R52" i="71" s="1"/>
  <c r="R157" i="71" s="1"/>
  <c r="R88" i="83"/>
  <c r="R159" i="83" s="1"/>
  <c r="R29" i="71" s="1"/>
  <c r="R134" i="71" s="1"/>
  <c r="R101" i="80"/>
  <c r="R113" i="80" s="1"/>
  <c r="R96" i="83"/>
  <c r="R184" i="83" s="1"/>
  <c r="R55" i="71" s="1"/>
  <c r="R160" i="71" s="1"/>
  <c r="S101" i="80"/>
  <c r="S113" i="80" s="1"/>
  <c r="S150" i="80" s="1"/>
  <c r="S109" i="83"/>
  <c r="S214" i="83" s="1"/>
  <c r="S86" i="71" s="1"/>
  <c r="S191" i="71" s="1"/>
  <c r="R86" i="83"/>
  <c r="R157" i="83" s="1"/>
  <c r="R27" i="71" s="1"/>
  <c r="R132" i="71" s="1"/>
  <c r="S123" i="80"/>
  <c r="S135" i="80" s="1"/>
  <c r="S149" i="80" s="1"/>
  <c r="S175" i="80" s="1"/>
  <c r="R108" i="83"/>
  <c r="R213" i="83" s="1"/>
  <c r="R85" i="71" s="1"/>
  <c r="R190" i="71" s="1"/>
  <c r="R99" i="80"/>
  <c r="R111" i="80" s="1"/>
  <c r="O74" i="80"/>
  <c r="O86" i="80" s="1"/>
  <c r="R149" i="80"/>
  <c r="R175" i="80" s="1"/>
  <c r="R145" i="80"/>
  <c r="R171" i="80" s="1"/>
  <c r="R144" i="80"/>
  <c r="R170" i="80" s="1"/>
  <c r="S147" i="80"/>
  <c r="S173" i="80" s="1"/>
  <c r="K50" i="82" a="1"/>
  <c r="K50" i="82" s="1"/>
  <c r="R253" i="80"/>
  <c r="S253" i="80"/>
  <c r="R240" i="80"/>
  <c r="S240" i="80"/>
  <c r="S246" i="80"/>
  <c r="R259" i="80"/>
  <c r="R246" i="80"/>
  <c r="S259" i="80"/>
  <c r="R254" i="80"/>
  <c r="S241" i="80"/>
  <c r="S254" i="80"/>
  <c r="R241" i="80"/>
  <c r="S245" i="80"/>
  <c r="R245" i="80"/>
  <c r="S258" i="80"/>
  <c r="R258" i="80"/>
  <c r="R255" i="80"/>
  <c r="S255" i="80"/>
  <c r="S242" i="80"/>
  <c r="R242" i="80"/>
  <c r="S256" i="80"/>
  <c r="S243" i="80"/>
  <c r="R256" i="80"/>
  <c r="R243" i="80"/>
  <c r="R257" i="80"/>
  <c r="R244" i="80"/>
  <c r="S257" i="80"/>
  <c r="S244" i="80"/>
  <c r="R252" i="80"/>
  <c r="S252" i="80"/>
  <c r="S239" i="80"/>
  <c r="R239" i="80"/>
  <c r="L22" i="71"/>
  <c r="L127" i="71" s="1"/>
  <c r="K22" i="71"/>
  <c r="K127" i="71" s="1"/>
  <c r="K72" i="80"/>
  <c r="K84" i="80" s="1"/>
  <c r="K95" i="80"/>
  <c r="K107" i="80" s="1"/>
  <c r="L95" i="80"/>
  <c r="L107" i="80" s="1"/>
  <c r="L99" i="83"/>
  <c r="L187" i="83" s="1"/>
  <c r="L58" i="71" s="1"/>
  <c r="L163" i="71" s="1"/>
  <c r="L78" i="80"/>
  <c r="L90" i="80" s="1"/>
  <c r="L86" i="83"/>
  <c r="L157" i="83" s="1"/>
  <c r="L27" i="71" s="1"/>
  <c r="L132" i="71" s="1"/>
  <c r="L82" i="83"/>
  <c r="L153" i="83" s="1"/>
  <c r="L23" i="71" s="1"/>
  <c r="L128" i="71" s="1"/>
  <c r="K85" i="83"/>
  <c r="K156" i="83" s="1"/>
  <c r="K26" i="71" s="1"/>
  <c r="K131" i="71" s="1"/>
  <c r="L105" i="83"/>
  <c r="L210" i="83" s="1"/>
  <c r="K100" i="80"/>
  <c r="K112" i="80" s="1"/>
  <c r="L106" i="83"/>
  <c r="L211" i="83" s="1"/>
  <c r="L83" i="71" s="1"/>
  <c r="L188" i="71" s="1"/>
  <c r="V241" i="80"/>
  <c r="AB254" i="80"/>
  <c r="W241" i="80"/>
  <c r="AA241" i="80"/>
  <c r="Z254" i="80"/>
  <c r="U254" i="80"/>
  <c r="Y254" i="80"/>
  <c r="AB241" i="80"/>
  <c r="X241" i="80"/>
  <c r="X254" i="80"/>
  <c r="W254" i="80"/>
  <c r="H26" i="73"/>
  <c r="AA254" i="80"/>
  <c r="V254" i="80"/>
  <c r="U241" i="80"/>
  <c r="Z241" i="80"/>
  <c r="Y241" i="80"/>
  <c r="K241" i="80"/>
  <c r="L241" i="80"/>
  <c r="T241" i="80"/>
  <c r="L254" i="80"/>
  <c r="T254" i="80"/>
  <c r="O241" i="80"/>
  <c r="P254" i="80"/>
  <c r="O254" i="80"/>
  <c r="P241" i="80"/>
  <c r="M241" i="80"/>
  <c r="J241" i="80"/>
  <c r="J254" i="80"/>
  <c r="H29" i="73"/>
  <c r="Z257" i="80"/>
  <c r="X257" i="80"/>
  <c r="W244" i="80"/>
  <c r="AA244" i="80"/>
  <c r="AB244" i="80"/>
  <c r="W257" i="80"/>
  <c r="Y257" i="80"/>
  <c r="AB257" i="80"/>
  <c r="Z244" i="80"/>
  <c r="U257" i="80"/>
  <c r="V244" i="80"/>
  <c r="U244" i="80"/>
  <c r="X244" i="80"/>
  <c r="Y244" i="80"/>
  <c r="V257" i="80"/>
  <c r="AA257" i="80"/>
  <c r="O244" i="80"/>
  <c r="P257" i="80"/>
  <c r="L257" i="80"/>
  <c r="L244" i="80"/>
  <c r="K244" i="80"/>
  <c r="O257" i="80"/>
  <c r="T257" i="80"/>
  <c r="T244" i="80"/>
  <c r="P244" i="80"/>
  <c r="M244" i="80"/>
  <c r="J244" i="80"/>
  <c r="J257" i="80"/>
  <c r="V176" i="80"/>
  <c r="V177" i="80" s="1"/>
  <c r="V240" i="80"/>
  <c r="AA240" i="80"/>
  <c r="W240" i="80"/>
  <c r="Y240" i="80"/>
  <c r="Z253" i="80"/>
  <c r="U253" i="80"/>
  <c r="Y253" i="80"/>
  <c r="H25" i="73"/>
  <c r="AB240" i="80"/>
  <c r="Z240" i="80"/>
  <c r="X253" i="80"/>
  <c r="W253" i="80"/>
  <c r="V253" i="80"/>
  <c r="AA253" i="80"/>
  <c r="AB253" i="80"/>
  <c r="U240" i="80"/>
  <c r="X240" i="80"/>
  <c r="T253" i="80"/>
  <c r="P240" i="80"/>
  <c r="O240" i="80"/>
  <c r="L253" i="80"/>
  <c r="P253" i="80"/>
  <c r="K240" i="80"/>
  <c r="L240" i="80"/>
  <c r="T240" i="80"/>
  <c r="O253" i="80"/>
  <c r="J253" i="80"/>
  <c r="M240" i="80"/>
  <c r="J240" i="80"/>
  <c r="Z255" i="80"/>
  <c r="V255" i="80"/>
  <c r="Y255" i="80"/>
  <c r="X255" i="80"/>
  <c r="H27" i="73"/>
  <c r="Z242" i="80"/>
  <c r="U242" i="80"/>
  <c r="Y242" i="80"/>
  <c r="AB255" i="80"/>
  <c r="W255" i="80"/>
  <c r="X242" i="80"/>
  <c r="W242" i="80"/>
  <c r="U255" i="80"/>
  <c r="AA255" i="80"/>
  <c r="V242" i="80"/>
  <c r="AB242" i="80"/>
  <c r="AA242" i="80"/>
  <c r="O255" i="80"/>
  <c r="T255" i="80"/>
  <c r="P242" i="80"/>
  <c r="O242" i="80"/>
  <c r="L242" i="80"/>
  <c r="K242" i="80"/>
  <c r="T242" i="80"/>
  <c r="P255" i="80"/>
  <c r="L255" i="80"/>
  <c r="J255" i="80"/>
  <c r="J242" i="80"/>
  <c r="M242" i="80"/>
  <c r="H30" i="73"/>
  <c r="Z258" i="80"/>
  <c r="U258" i="80"/>
  <c r="U245" i="80"/>
  <c r="Y245" i="80"/>
  <c r="V245" i="80"/>
  <c r="X245" i="80"/>
  <c r="AA245" i="80"/>
  <c r="AB258" i="80"/>
  <c r="W245" i="80"/>
  <c r="X258" i="80"/>
  <c r="Z245" i="80"/>
  <c r="W258" i="80"/>
  <c r="V258" i="80"/>
  <c r="AA258" i="80"/>
  <c r="AB245" i="80"/>
  <c r="Y258" i="80"/>
  <c r="K245" i="80"/>
  <c r="O245" i="80"/>
  <c r="L245" i="80"/>
  <c r="T245" i="80"/>
  <c r="P245" i="80"/>
  <c r="O258" i="80"/>
  <c r="T258" i="80"/>
  <c r="L258" i="80"/>
  <c r="P258" i="80"/>
  <c r="J258" i="80"/>
  <c r="J245" i="80"/>
  <c r="M245" i="80"/>
  <c r="Z239" i="80"/>
  <c r="Z252" i="80"/>
  <c r="Y252" i="80"/>
  <c r="W252" i="80"/>
  <c r="H24" i="73"/>
  <c r="AB239" i="80"/>
  <c r="X252" i="80"/>
  <c r="U239" i="80"/>
  <c r="V252" i="80"/>
  <c r="Y239" i="80"/>
  <c r="AB252" i="80"/>
  <c r="W239" i="80"/>
  <c r="V239" i="80"/>
  <c r="U252" i="80"/>
  <c r="AA239" i="80"/>
  <c r="AA252" i="80"/>
  <c r="H23" i="73"/>
  <c r="X239" i="80"/>
  <c r="O252" i="80"/>
  <c r="L239" i="80"/>
  <c r="T239" i="80"/>
  <c r="P239" i="80"/>
  <c r="O239" i="80"/>
  <c r="T252" i="80"/>
  <c r="P252" i="80"/>
  <c r="K239" i="80"/>
  <c r="L252" i="80"/>
  <c r="J239" i="80"/>
  <c r="M239" i="80"/>
  <c r="J252" i="80"/>
  <c r="AB256" i="80"/>
  <c r="AA243" i="80"/>
  <c r="U243" i="80"/>
  <c r="W243" i="80"/>
  <c r="V256" i="80"/>
  <c r="Y243" i="80"/>
  <c r="U256" i="80"/>
  <c r="H28" i="73"/>
  <c r="V243" i="80"/>
  <c r="AA256" i="80"/>
  <c r="Y256" i="80"/>
  <c r="AB243" i="80"/>
  <c r="W256" i="80"/>
  <c r="Z256" i="80"/>
  <c r="X256" i="80"/>
  <c r="Z243" i="80"/>
  <c r="X243" i="80"/>
  <c r="T256" i="80"/>
  <c r="P243" i="80"/>
  <c r="O256" i="80"/>
  <c r="O243" i="80"/>
  <c r="L256" i="80"/>
  <c r="K243" i="80"/>
  <c r="L243" i="80"/>
  <c r="T243" i="80"/>
  <c r="P256" i="80"/>
  <c r="M243" i="80"/>
  <c r="J256" i="80"/>
  <c r="J243" i="80"/>
  <c r="H31" i="73"/>
  <c r="AB259" i="80"/>
  <c r="AA259" i="80"/>
  <c r="AA246" i="80"/>
  <c r="W259" i="80"/>
  <c r="V246" i="80"/>
  <c r="W246" i="80"/>
  <c r="X259" i="80"/>
  <c r="Z259" i="80"/>
  <c r="U246" i="80"/>
  <c r="Y246" i="80"/>
  <c r="Y259" i="80"/>
  <c r="AB246" i="80"/>
  <c r="U259" i="80"/>
  <c r="Z246" i="80"/>
  <c r="X246" i="80"/>
  <c r="V259" i="80"/>
  <c r="K246" i="80"/>
  <c r="O246" i="80"/>
  <c r="L246" i="80"/>
  <c r="L259" i="80"/>
  <c r="P246" i="80"/>
  <c r="O259" i="80"/>
  <c r="P259" i="80"/>
  <c r="T259" i="80"/>
  <c r="T246" i="80"/>
  <c r="J259" i="80"/>
  <c r="M246" i="80"/>
  <c r="J246" i="80"/>
  <c r="L97" i="80"/>
  <c r="L109" i="80" s="1"/>
  <c r="K89" i="83"/>
  <c r="K160" i="83" s="1"/>
  <c r="K30" i="71" s="1"/>
  <c r="K135" i="71" s="1"/>
  <c r="L77" i="80"/>
  <c r="L89" i="80" s="1"/>
  <c r="L122" i="80"/>
  <c r="L134" i="80" s="1"/>
  <c r="T150" i="80"/>
  <c r="T208" i="80" s="1"/>
  <c r="L70" i="80"/>
  <c r="L82" i="80" s="1"/>
  <c r="T147" i="80"/>
  <c r="T173" i="80" s="1"/>
  <c r="V163" i="71"/>
  <c r="T58" i="71"/>
  <c r="T163" i="71" s="1"/>
  <c r="V188" i="71"/>
  <c r="T83" i="71"/>
  <c r="T188" i="71" s="1"/>
  <c r="V195" i="71"/>
  <c r="T90" i="71"/>
  <c r="T195" i="71" s="1"/>
  <c r="V193" i="71"/>
  <c r="T88" i="71"/>
  <c r="T193" i="71" s="1"/>
  <c r="V128" i="71"/>
  <c r="T23" i="71"/>
  <c r="T128" i="71" s="1"/>
  <c r="V164" i="71"/>
  <c r="T59" i="71"/>
  <c r="T164" i="71" s="1"/>
  <c r="V134" i="71"/>
  <c r="T29" i="71"/>
  <c r="T134" i="71" s="1"/>
  <c r="V161" i="71"/>
  <c r="T56" i="71"/>
  <c r="T161" i="71" s="1"/>
  <c r="V133" i="71"/>
  <c r="T28" i="71"/>
  <c r="T133" i="71" s="1"/>
  <c r="V192" i="71"/>
  <c r="T87" i="71"/>
  <c r="T192" i="71" s="1"/>
  <c r="L52" i="71"/>
  <c r="L157" i="71" s="1"/>
  <c r="T145" i="80"/>
  <c r="T171" i="80" s="1"/>
  <c r="V190" i="71"/>
  <c r="T85" i="71"/>
  <c r="T190" i="71" s="1"/>
  <c r="L100" i="80"/>
  <c r="L112" i="80" s="1"/>
  <c r="V136" i="71"/>
  <c r="T31" i="71"/>
  <c r="T136" i="71" s="1"/>
  <c r="V132" i="71"/>
  <c r="T27" i="71"/>
  <c r="T132" i="71" s="1"/>
  <c r="V130" i="71"/>
  <c r="T25" i="71"/>
  <c r="T130" i="71" s="1"/>
  <c r="V166" i="71"/>
  <c r="T61" i="71"/>
  <c r="T166" i="71" s="1"/>
  <c r="V196" i="71"/>
  <c r="T91" i="71"/>
  <c r="T196" i="71" s="1"/>
  <c r="V157" i="71"/>
  <c r="T52" i="71"/>
  <c r="T157" i="71" s="1"/>
  <c r="V191" i="71"/>
  <c r="T86" i="71"/>
  <c r="T191" i="71" s="1"/>
  <c r="V162" i="71"/>
  <c r="T57" i="71"/>
  <c r="T162" i="71" s="1"/>
  <c r="V135" i="71"/>
  <c r="T30" i="71"/>
  <c r="T135" i="71" s="1"/>
  <c r="V160" i="71"/>
  <c r="T55" i="71"/>
  <c r="T160" i="71" s="1"/>
  <c r="V159" i="71"/>
  <c r="T54" i="71"/>
  <c r="T159" i="71" s="1"/>
  <c r="V131" i="71"/>
  <c r="T26" i="71"/>
  <c r="T131" i="71" s="1"/>
  <c r="V129" i="71"/>
  <c r="T24" i="71"/>
  <c r="T129" i="71" s="1"/>
  <c r="V187" i="71"/>
  <c r="T82" i="71"/>
  <c r="T187" i="71" s="1"/>
  <c r="V194" i="71"/>
  <c r="T89" i="71"/>
  <c r="T194" i="71" s="1"/>
  <c r="V189" i="71"/>
  <c r="T84" i="71"/>
  <c r="T189" i="71" s="1"/>
  <c r="V165" i="71"/>
  <c r="T60" i="71"/>
  <c r="T165" i="71" s="1"/>
  <c r="V158" i="71"/>
  <c r="T53" i="71"/>
  <c r="T158" i="71" s="1"/>
  <c r="J106" i="83"/>
  <c r="J211" i="83" s="1"/>
  <c r="J83" i="71" s="1"/>
  <c r="J105" i="83"/>
  <c r="J210" i="83" s="1"/>
  <c r="J116" i="80"/>
  <c r="J128" i="80" s="1"/>
  <c r="J86" i="83"/>
  <c r="J157" i="83" s="1"/>
  <c r="J27" i="71" s="1"/>
  <c r="J74" i="80"/>
  <c r="J86" i="80" s="1"/>
  <c r="M100" i="83"/>
  <c r="M188" i="83" s="1"/>
  <c r="M59" i="71" s="1"/>
  <c r="M164" i="71" s="1"/>
  <c r="M99" i="80"/>
  <c r="M111" i="80" s="1"/>
  <c r="M95" i="83"/>
  <c r="M183" i="83" s="1"/>
  <c r="M54" i="71" s="1"/>
  <c r="M159" i="71" s="1"/>
  <c r="M94" i="80"/>
  <c r="M106" i="80" s="1"/>
  <c r="J107" i="83"/>
  <c r="J212" i="83" s="1"/>
  <c r="J84" i="71" s="1"/>
  <c r="J117" i="80"/>
  <c r="J129" i="80" s="1"/>
  <c r="J111" i="83"/>
  <c r="J216" i="83" s="1"/>
  <c r="J88" i="71" s="1"/>
  <c r="J121" i="80"/>
  <c r="J133" i="80" s="1"/>
  <c r="M86" i="83"/>
  <c r="M157" i="83" s="1"/>
  <c r="M27" i="71" s="1"/>
  <c r="M132" i="71" s="1"/>
  <c r="M74" i="80"/>
  <c r="M86" i="80" s="1"/>
  <c r="M97" i="83"/>
  <c r="M185" i="83" s="1"/>
  <c r="M56" i="71" s="1"/>
  <c r="M161" i="71" s="1"/>
  <c r="M96" i="80"/>
  <c r="M108" i="80" s="1"/>
  <c r="L83" i="83"/>
  <c r="L154" i="83" s="1"/>
  <c r="L24" i="71" s="1"/>
  <c r="L129" i="71" s="1"/>
  <c r="L71" i="80"/>
  <c r="L83" i="80" s="1"/>
  <c r="J88" i="83"/>
  <c r="J159" i="83" s="1"/>
  <c r="J29" i="71" s="1"/>
  <c r="J76" i="80"/>
  <c r="J88" i="80" s="1"/>
  <c r="J90" i="83"/>
  <c r="J161" i="83" s="1"/>
  <c r="J31" i="71" s="1"/>
  <c r="J78" i="80"/>
  <c r="J90" i="80" s="1"/>
  <c r="M114" i="83"/>
  <c r="M219" i="83" s="1"/>
  <c r="M91" i="71" s="1"/>
  <c r="M196" i="71" s="1"/>
  <c r="M124" i="80"/>
  <c r="M136" i="80" s="1"/>
  <c r="M108" i="83"/>
  <c r="M213" i="83" s="1"/>
  <c r="M85" i="71" s="1"/>
  <c r="M190" i="71" s="1"/>
  <c r="M118" i="80"/>
  <c r="M130" i="80" s="1"/>
  <c r="L111" i="83"/>
  <c r="L216" i="83" s="1"/>
  <c r="L88" i="71" s="1"/>
  <c r="L193" i="71" s="1"/>
  <c r="L121" i="80"/>
  <c r="L133" i="80" s="1"/>
  <c r="J89" i="83"/>
  <c r="J160" i="83" s="1"/>
  <c r="J30" i="71" s="1"/>
  <c r="J77" i="80"/>
  <c r="J89" i="80" s="1"/>
  <c r="J97" i="83"/>
  <c r="J185" i="83" s="1"/>
  <c r="J56" i="71" s="1"/>
  <c r="J96" i="80"/>
  <c r="J108" i="80" s="1"/>
  <c r="K94" i="83"/>
  <c r="K182" i="83" s="1"/>
  <c r="K53" i="71" s="1"/>
  <c r="K158" i="71" s="1"/>
  <c r="K93" i="83"/>
  <c r="K181" i="83" s="1"/>
  <c r="K93" i="80"/>
  <c r="K105" i="80" s="1"/>
  <c r="T146" i="80"/>
  <c r="T172" i="80" s="1"/>
  <c r="T144" i="80"/>
  <c r="T170" i="80" s="1"/>
  <c r="J82" i="83"/>
  <c r="J153" i="83" s="1"/>
  <c r="J23" i="71" s="1"/>
  <c r="J81" i="83"/>
  <c r="J152" i="83" s="1"/>
  <c r="J70" i="80"/>
  <c r="J82" i="80" s="1"/>
  <c r="M112" i="83"/>
  <c r="M217" i="83" s="1"/>
  <c r="M89" i="71" s="1"/>
  <c r="M194" i="71" s="1"/>
  <c r="M122" i="80"/>
  <c r="M134" i="80" s="1"/>
  <c r="K98" i="83"/>
  <c r="K186" i="83" s="1"/>
  <c r="K57" i="71" s="1"/>
  <c r="K162" i="71" s="1"/>
  <c r="K97" i="80"/>
  <c r="K109" i="80" s="1"/>
  <c r="J95" i="83"/>
  <c r="J183" i="83" s="1"/>
  <c r="J54" i="71" s="1"/>
  <c r="J94" i="80"/>
  <c r="J106" i="80" s="1"/>
  <c r="L95" i="83"/>
  <c r="L183" i="83" s="1"/>
  <c r="L54" i="71" s="1"/>
  <c r="L159" i="71" s="1"/>
  <c r="L94" i="80"/>
  <c r="L106" i="80" s="1"/>
  <c r="J96" i="83"/>
  <c r="J184" i="83" s="1"/>
  <c r="J55" i="71" s="1"/>
  <c r="J95" i="80"/>
  <c r="J107" i="80" s="1"/>
  <c r="J99" i="83"/>
  <c r="J187" i="83" s="1"/>
  <c r="J58" i="71" s="1"/>
  <c r="J98" i="80"/>
  <c r="J110" i="80" s="1"/>
  <c r="M113" i="83"/>
  <c r="M218" i="83" s="1"/>
  <c r="M90" i="71" s="1"/>
  <c r="M195" i="71" s="1"/>
  <c r="M123" i="80"/>
  <c r="M135" i="80" s="1"/>
  <c r="K107" i="83"/>
  <c r="K212" i="83" s="1"/>
  <c r="K84" i="71" s="1"/>
  <c r="K189" i="71" s="1"/>
  <c r="K117" i="80"/>
  <c r="K129" i="80" s="1"/>
  <c r="M109" i="83"/>
  <c r="M214" i="83" s="1"/>
  <c r="M86" i="71" s="1"/>
  <c r="M191" i="71" s="1"/>
  <c r="M119" i="80"/>
  <c r="M131" i="80" s="1"/>
  <c r="L88" i="83"/>
  <c r="L159" i="83" s="1"/>
  <c r="L29" i="71" s="1"/>
  <c r="L134" i="71" s="1"/>
  <c r="L76" i="80"/>
  <c r="L88" i="80" s="1"/>
  <c r="J114" i="83"/>
  <c r="J219" i="83" s="1"/>
  <c r="J91" i="71" s="1"/>
  <c r="J124" i="80"/>
  <c r="J136" i="80" s="1"/>
  <c r="M90" i="83"/>
  <c r="M161" i="83" s="1"/>
  <c r="M31" i="71" s="1"/>
  <c r="M136" i="71" s="1"/>
  <c r="M78" i="80"/>
  <c r="M90" i="80" s="1"/>
  <c r="K110" i="83"/>
  <c r="K215" i="83" s="1"/>
  <c r="K87" i="71" s="1"/>
  <c r="K192" i="71" s="1"/>
  <c r="K120" i="80"/>
  <c r="K132" i="80" s="1"/>
  <c r="M106" i="83"/>
  <c r="M211" i="83" s="1"/>
  <c r="M83" i="71" s="1"/>
  <c r="M188" i="71" s="1"/>
  <c r="M105" i="83"/>
  <c r="M210" i="83" s="1"/>
  <c r="M116" i="80"/>
  <c r="M128" i="80" s="1"/>
  <c r="J109" i="83"/>
  <c r="J214" i="83" s="1"/>
  <c r="J86" i="71" s="1"/>
  <c r="J119" i="80"/>
  <c r="J131" i="80" s="1"/>
  <c r="K88" i="83"/>
  <c r="K159" i="83" s="1"/>
  <c r="K29" i="71" s="1"/>
  <c r="K134" i="71" s="1"/>
  <c r="K76" i="80"/>
  <c r="K88" i="80" s="1"/>
  <c r="T143" i="80"/>
  <c r="T169" i="80" s="1"/>
  <c r="T142" i="80"/>
  <c r="T168" i="80" s="1"/>
  <c r="J110" i="83"/>
  <c r="J215" i="83" s="1"/>
  <c r="J87" i="71" s="1"/>
  <c r="J120" i="80"/>
  <c r="J132" i="80" s="1"/>
  <c r="M107" i="83"/>
  <c r="M212" i="83" s="1"/>
  <c r="M84" i="71" s="1"/>
  <c r="M189" i="71" s="1"/>
  <c r="M117" i="80"/>
  <c r="M129" i="80" s="1"/>
  <c r="J84" i="83"/>
  <c r="J155" i="83" s="1"/>
  <c r="J25" i="71" s="1"/>
  <c r="J72" i="80"/>
  <c r="J84" i="80" s="1"/>
  <c r="M110" i="83"/>
  <c r="M215" i="83" s="1"/>
  <c r="M87" i="71" s="1"/>
  <c r="M192" i="71" s="1"/>
  <c r="M120" i="80"/>
  <c r="M132" i="80" s="1"/>
  <c r="M89" i="83"/>
  <c r="M160" i="83" s="1"/>
  <c r="M30" i="71" s="1"/>
  <c r="M135" i="71" s="1"/>
  <c r="M77" i="80"/>
  <c r="M89" i="80" s="1"/>
  <c r="L97" i="83"/>
  <c r="L185" i="83" s="1"/>
  <c r="L56" i="71" s="1"/>
  <c r="L161" i="71" s="1"/>
  <c r="L96" i="80"/>
  <c r="L108" i="80" s="1"/>
  <c r="L85" i="83"/>
  <c r="L156" i="83" s="1"/>
  <c r="L26" i="71" s="1"/>
  <c r="L131" i="71" s="1"/>
  <c r="L73" i="80"/>
  <c r="L85" i="80" s="1"/>
  <c r="M85" i="83"/>
  <c r="M156" i="83" s="1"/>
  <c r="M26" i="71" s="1"/>
  <c r="M131" i="71" s="1"/>
  <c r="M73" i="80"/>
  <c r="M85" i="80" s="1"/>
  <c r="J100" i="83"/>
  <c r="J188" i="83" s="1"/>
  <c r="J59" i="71" s="1"/>
  <c r="J99" i="80"/>
  <c r="J111" i="80" s="1"/>
  <c r="K109" i="83"/>
  <c r="K214" i="83" s="1"/>
  <c r="K86" i="71" s="1"/>
  <c r="K191" i="71" s="1"/>
  <c r="K119" i="80"/>
  <c r="K131" i="80" s="1"/>
  <c r="K145" i="80" s="1"/>
  <c r="K171" i="80" s="1"/>
  <c r="M84" i="83"/>
  <c r="M155" i="83" s="1"/>
  <c r="M25" i="71" s="1"/>
  <c r="M130" i="71" s="1"/>
  <c r="M72" i="80"/>
  <c r="M84" i="80" s="1"/>
  <c r="J113" i="83"/>
  <c r="J218" i="83" s="1"/>
  <c r="J90" i="71" s="1"/>
  <c r="J123" i="80"/>
  <c r="J135" i="80" s="1"/>
  <c r="M93" i="83"/>
  <c r="M181" i="83" s="1"/>
  <c r="M94" i="83"/>
  <c r="M182" i="83" s="1"/>
  <c r="M53" i="71" s="1"/>
  <c r="M158" i="71" s="1"/>
  <c r="M93" i="80"/>
  <c r="M105" i="80" s="1"/>
  <c r="J85" i="83"/>
  <c r="J156" i="83" s="1"/>
  <c r="J26" i="71" s="1"/>
  <c r="J73" i="80"/>
  <c r="J85" i="80" s="1"/>
  <c r="K106" i="83"/>
  <c r="K211" i="83" s="1"/>
  <c r="K83" i="71" s="1"/>
  <c r="K188" i="71" s="1"/>
  <c r="K105" i="83"/>
  <c r="K210" i="83" s="1"/>
  <c r="K116" i="80"/>
  <c r="K128" i="80" s="1"/>
  <c r="T149" i="80"/>
  <c r="T175" i="80" s="1"/>
  <c r="V127" i="71"/>
  <c r="J94" i="83"/>
  <c r="J182" i="83" s="1"/>
  <c r="J53" i="71" s="1"/>
  <c r="J93" i="83"/>
  <c r="J181" i="83" s="1"/>
  <c r="J93" i="80"/>
  <c r="J105" i="80" s="1"/>
  <c r="J98" i="83"/>
  <c r="J186" i="83" s="1"/>
  <c r="J57" i="71" s="1"/>
  <c r="J97" i="80"/>
  <c r="J109" i="80" s="1"/>
  <c r="M88" i="83"/>
  <c r="M159" i="83" s="1"/>
  <c r="M29" i="71" s="1"/>
  <c r="M134" i="71" s="1"/>
  <c r="M76" i="80"/>
  <c r="M88" i="80" s="1"/>
  <c r="M83" i="83"/>
  <c r="M154" i="83" s="1"/>
  <c r="M24" i="71" s="1"/>
  <c r="M129" i="71" s="1"/>
  <c r="M71" i="80"/>
  <c r="M83" i="80" s="1"/>
  <c r="J83" i="83"/>
  <c r="J154" i="83" s="1"/>
  <c r="J24" i="71" s="1"/>
  <c r="J71" i="80"/>
  <c r="J83" i="80" s="1"/>
  <c r="J108" i="83"/>
  <c r="J213" i="83" s="1"/>
  <c r="J85" i="71" s="1"/>
  <c r="J118" i="80"/>
  <c r="J130" i="80" s="1"/>
  <c r="J87" i="83"/>
  <c r="J158" i="83" s="1"/>
  <c r="J28" i="71" s="1"/>
  <c r="J75" i="80"/>
  <c r="J87" i="80" s="1"/>
  <c r="M98" i="83"/>
  <c r="M186" i="83" s="1"/>
  <c r="M57" i="71" s="1"/>
  <c r="M162" i="71" s="1"/>
  <c r="M97" i="80"/>
  <c r="M109" i="80" s="1"/>
  <c r="M101" i="83"/>
  <c r="M189" i="83" s="1"/>
  <c r="M60" i="71" s="1"/>
  <c r="M165" i="71" s="1"/>
  <c r="M100" i="80"/>
  <c r="M112" i="80" s="1"/>
  <c r="L108" i="83"/>
  <c r="L213" i="83" s="1"/>
  <c r="L85" i="71" s="1"/>
  <c r="L190" i="71" s="1"/>
  <c r="L118" i="80"/>
  <c r="L130" i="80" s="1"/>
  <c r="J112" i="83"/>
  <c r="J217" i="83" s="1"/>
  <c r="J89" i="71" s="1"/>
  <c r="J122" i="80"/>
  <c r="J134" i="80" s="1"/>
  <c r="J102" i="83"/>
  <c r="J190" i="83" s="1"/>
  <c r="J61" i="71" s="1"/>
  <c r="J101" i="80"/>
  <c r="J113" i="80" s="1"/>
  <c r="K100" i="83"/>
  <c r="K188" i="83" s="1"/>
  <c r="K59" i="71" s="1"/>
  <c r="K164" i="71" s="1"/>
  <c r="K99" i="80"/>
  <c r="K111" i="80" s="1"/>
  <c r="M102" i="83"/>
  <c r="M190" i="83" s="1"/>
  <c r="M61" i="71" s="1"/>
  <c r="M166" i="71" s="1"/>
  <c r="M101" i="80"/>
  <c r="M113" i="80" s="1"/>
  <c r="M96" i="83"/>
  <c r="M184" i="83" s="1"/>
  <c r="M55" i="71" s="1"/>
  <c r="M160" i="71" s="1"/>
  <c r="M95" i="80"/>
  <c r="M107" i="80" s="1"/>
  <c r="J101" i="83"/>
  <c r="J189" i="83" s="1"/>
  <c r="J60" i="71" s="1"/>
  <c r="J100" i="80"/>
  <c r="J112" i="80" s="1"/>
  <c r="M82" i="83"/>
  <c r="M153" i="83" s="1"/>
  <c r="M23" i="71" s="1"/>
  <c r="M128" i="71" s="1"/>
  <c r="M81" i="83"/>
  <c r="M152" i="83" s="1"/>
  <c r="M70" i="80"/>
  <c r="M82" i="80" s="1"/>
  <c r="K83" i="83"/>
  <c r="K154" i="83" s="1"/>
  <c r="K24" i="71" s="1"/>
  <c r="K129" i="71" s="1"/>
  <c r="K71" i="80"/>
  <c r="K83" i="80" s="1"/>
  <c r="T148" i="80"/>
  <c r="T174" i="80" s="1"/>
  <c r="U176" i="80"/>
  <c r="U177" i="80" s="1"/>
  <c r="U208" i="80"/>
  <c r="P135" i="71"/>
  <c r="P160" i="71"/>
  <c r="P133" i="71"/>
  <c r="P191" i="71"/>
  <c r="O190" i="71"/>
  <c r="P189" i="71"/>
  <c r="O159" i="71"/>
  <c r="P129" i="71"/>
  <c r="P163" i="71"/>
  <c r="O130" i="71"/>
  <c r="O162" i="71"/>
  <c r="O128" i="71"/>
  <c r="P193" i="71"/>
  <c r="O131" i="71"/>
  <c r="P190" i="71"/>
  <c r="O163" i="71"/>
  <c r="O136" i="71"/>
  <c r="O196" i="71"/>
  <c r="P131" i="71"/>
  <c r="P162" i="71"/>
  <c r="O135" i="71"/>
  <c r="P145" i="80" l="1"/>
  <c r="P171" i="80" s="1"/>
  <c r="M147" i="80"/>
  <c r="M173" i="80" s="1"/>
  <c r="M274" i="80" s="1"/>
  <c r="L142" i="80"/>
  <c r="L168" i="80" s="1"/>
  <c r="L269" i="80" s="1"/>
  <c r="L147" i="80"/>
  <c r="L173" i="80" s="1"/>
  <c r="L274" i="80" s="1"/>
  <c r="L146" i="80"/>
  <c r="L172" i="80" s="1"/>
  <c r="L273" i="80" s="1"/>
  <c r="L150" i="80"/>
  <c r="L208" i="80" s="1"/>
  <c r="K149" i="80"/>
  <c r="K175" i="80" s="1"/>
  <c r="K276" i="80" s="1"/>
  <c r="K150" i="80"/>
  <c r="K176" i="80" s="1"/>
  <c r="P143" i="80"/>
  <c r="P169" i="80" s="1"/>
  <c r="P270" i="80" s="1"/>
  <c r="P146" i="80"/>
  <c r="P172" i="80" s="1"/>
  <c r="P273" i="80" s="1"/>
  <c r="P150" i="80"/>
  <c r="P176" i="80" s="1"/>
  <c r="P142" i="80"/>
  <c r="P168" i="80" s="1"/>
  <c r="P269" i="80" s="1"/>
  <c r="O146" i="80"/>
  <c r="O172" i="80" s="1"/>
  <c r="O273" i="80" s="1"/>
  <c r="P147" i="80"/>
  <c r="P173" i="80" s="1"/>
  <c r="P274" i="80" s="1"/>
  <c r="O142" i="80"/>
  <c r="O168" i="80" s="1"/>
  <c r="O269" i="80" s="1"/>
  <c r="P148" i="80"/>
  <c r="P174" i="80" s="1"/>
  <c r="P275" i="80" s="1"/>
  <c r="O147" i="80"/>
  <c r="O173" i="80" s="1"/>
  <c r="O274" i="80" s="1"/>
  <c r="O143" i="80"/>
  <c r="O169" i="80" s="1"/>
  <c r="O270" i="80" s="1"/>
  <c r="O150" i="80"/>
  <c r="O208" i="80" s="1"/>
  <c r="R148" i="80"/>
  <c r="R174" i="80" s="1"/>
  <c r="R275" i="80" s="1"/>
  <c r="S146" i="80"/>
  <c r="S172" i="80" s="1"/>
  <c r="S273" i="80" s="1"/>
  <c r="R142" i="80"/>
  <c r="R168" i="80" s="1"/>
  <c r="R269" i="80" s="1"/>
  <c r="R150" i="80"/>
  <c r="R208" i="80" s="1"/>
  <c r="S144" i="80"/>
  <c r="S170" i="80" s="1"/>
  <c r="S271" i="80" s="1"/>
  <c r="R271" i="80"/>
  <c r="S176" i="80"/>
  <c r="S208" i="80"/>
  <c r="AB272" i="80"/>
  <c r="L50" i="82"/>
  <c r="M50" i="82"/>
  <c r="N50" i="82"/>
  <c r="O50" i="82"/>
  <c r="R273" i="80"/>
  <c r="R270" i="80"/>
  <c r="R272" i="80"/>
  <c r="S270" i="80"/>
  <c r="S272" i="80"/>
  <c r="R274" i="80"/>
  <c r="S274" i="80"/>
  <c r="R140" i="73"/>
  <c r="R170" i="73"/>
  <c r="R230" i="73" s="1"/>
  <c r="S140" i="73"/>
  <c r="S170" i="73"/>
  <c r="S230" i="73" s="1"/>
  <c r="Q170" i="73"/>
  <c r="Q230" i="73" s="1"/>
  <c r="Q140" i="73"/>
  <c r="Q167" i="73"/>
  <c r="Q227" i="73" s="1"/>
  <c r="S137" i="73"/>
  <c r="R167" i="73"/>
  <c r="R227" i="73" s="1"/>
  <c r="R137" i="73"/>
  <c r="S167" i="73"/>
  <c r="S227" i="73" s="1"/>
  <c r="Q137" i="73"/>
  <c r="R168" i="73"/>
  <c r="R228" i="73" s="1"/>
  <c r="Q138" i="73"/>
  <c r="R138" i="73"/>
  <c r="S168" i="73"/>
  <c r="S228" i="73" s="1"/>
  <c r="S138" i="73"/>
  <c r="Q168" i="73"/>
  <c r="Q228" i="73" s="1"/>
  <c r="S165" i="73"/>
  <c r="S225" i="73" s="1"/>
  <c r="Q135" i="73"/>
  <c r="Q165" i="73"/>
  <c r="Q225" i="73" s="1"/>
  <c r="R135" i="73"/>
  <c r="S135" i="73"/>
  <c r="R165" i="73"/>
  <c r="R225" i="73" s="1"/>
  <c r="R136" i="73"/>
  <c r="S136" i="73"/>
  <c r="R166" i="73"/>
  <c r="R226" i="73" s="1"/>
  <c r="Q166" i="73"/>
  <c r="Q226" i="73" s="1"/>
  <c r="Q136" i="73"/>
  <c r="S166" i="73"/>
  <c r="S226" i="73" s="1"/>
  <c r="R164" i="73"/>
  <c r="R224" i="73" s="1"/>
  <c r="Q134" i="73"/>
  <c r="Q164" i="73"/>
  <c r="Q224" i="73" s="1"/>
  <c r="R134" i="73"/>
  <c r="S164" i="73"/>
  <c r="S224" i="73" s="1"/>
  <c r="S134" i="73"/>
  <c r="Q139" i="73"/>
  <c r="S169" i="73"/>
  <c r="S229" i="73" s="1"/>
  <c r="R139" i="73"/>
  <c r="Q169" i="73"/>
  <c r="Q229" i="73" s="1"/>
  <c r="R169" i="73"/>
  <c r="R229" i="73" s="1"/>
  <c r="S139" i="73"/>
  <c r="S275" i="80"/>
  <c r="S276" i="80"/>
  <c r="R276" i="80"/>
  <c r="S269" i="80"/>
  <c r="X276" i="80"/>
  <c r="Z274" i="80"/>
  <c r="K144" i="80"/>
  <c r="K170" i="80" s="1"/>
  <c r="K271" i="80" s="1"/>
  <c r="M22" i="71"/>
  <c r="M127" i="71" s="1"/>
  <c r="J82" i="71"/>
  <c r="J187" i="71" s="1"/>
  <c r="J52" i="71"/>
  <c r="J157" i="71" s="1"/>
  <c r="J22" i="71"/>
  <c r="J127" i="71" s="1"/>
  <c r="L144" i="80"/>
  <c r="L170" i="80" s="1"/>
  <c r="L271" i="80" s="1"/>
  <c r="AA272" i="80"/>
  <c r="X269" i="80"/>
  <c r="K274" i="80"/>
  <c r="V273" i="80"/>
  <c r="L82" i="71"/>
  <c r="L187" i="71" s="1"/>
  <c r="V269" i="80"/>
  <c r="T273" i="80"/>
  <c r="V271" i="80"/>
  <c r="U275" i="80"/>
  <c r="W275" i="80"/>
  <c r="U272" i="80"/>
  <c r="X270" i="80"/>
  <c r="U274" i="80"/>
  <c r="Y272" i="80"/>
  <c r="U270" i="80"/>
  <c r="W274" i="80"/>
  <c r="U271" i="80"/>
  <c r="M142" i="80"/>
  <c r="M168" i="80" s="1"/>
  <c r="L149" i="80"/>
  <c r="L175" i="80" s="1"/>
  <c r="L276" i="80" s="1"/>
  <c r="AB270" i="80"/>
  <c r="Z273" i="80"/>
  <c r="AA276" i="80"/>
  <c r="U269" i="80"/>
  <c r="U276" i="80"/>
  <c r="V270" i="80"/>
  <c r="T275" i="80"/>
  <c r="AB276" i="80"/>
  <c r="AB273" i="80"/>
  <c r="Z269" i="80"/>
  <c r="V274" i="80"/>
  <c r="V275" i="80"/>
  <c r="V276" i="80"/>
  <c r="W273" i="80"/>
  <c r="U273" i="80"/>
  <c r="AA269" i="80"/>
  <c r="X272" i="80"/>
  <c r="T271" i="80"/>
  <c r="P272" i="80"/>
  <c r="Z272" i="80"/>
  <c r="V272" i="80"/>
  <c r="Z270" i="80"/>
  <c r="X274" i="80"/>
  <c r="AB274" i="80"/>
  <c r="J140" i="73"/>
  <c r="L140" i="73"/>
  <c r="K140" i="73"/>
  <c r="L170" i="73"/>
  <c r="L230" i="73" s="1"/>
  <c r="N140" i="73"/>
  <c r="P140" i="73"/>
  <c r="T170" i="73"/>
  <c r="T230" i="73" s="1"/>
  <c r="P170" i="73"/>
  <c r="P230" i="73" s="1"/>
  <c r="N170" i="73"/>
  <c r="N230" i="73" s="1"/>
  <c r="M140" i="73"/>
  <c r="M170" i="73"/>
  <c r="M230" i="73" s="1"/>
  <c r="T140" i="73"/>
  <c r="O140" i="73"/>
  <c r="J170" i="73"/>
  <c r="J230" i="73" s="1"/>
  <c r="K170" i="73"/>
  <c r="K230" i="73" s="1"/>
  <c r="O170" i="73"/>
  <c r="O230" i="73" s="1"/>
  <c r="J137" i="73"/>
  <c r="P137" i="73"/>
  <c r="O167" i="73"/>
  <c r="O227" i="73" s="1"/>
  <c r="K167" i="73"/>
  <c r="K227" i="73" s="1"/>
  <c r="T167" i="73"/>
  <c r="T227" i="73" s="1"/>
  <c r="T137" i="73"/>
  <c r="N137" i="73"/>
  <c r="L137" i="73"/>
  <c r="K137" i="73"/>
  <c r="M167" i="73"/>
  <c r="M227" i="73" s="1"/>
  <c r="M137" i="73"/>
  <c r="L167" i="73"/>
  <c r="L227" i="73" s="1"/>
  <c r="O137" i="73"/>
  <c r="J167" i="73"/>
  <c r="J227" i="73" s="1"/>
  <c r="P167" i="73"/>
  <c r="P227" i="73" s="1"/>
  <c r="N167" i="73"/>
  <c r="N227" i="73" s="1"/>
  <c r="W271" i="80"/>
  <c r="T272" i="80"/>
  <c r="O276" i="80"/>
  <c r="Y275" i="80"/>
  <c r="P169" i="73"/>
  <c r="P229" i="73" s="1"/>
  <c r="N139" i="73"/>
  <c r="J139" i="73"/>
  <c r="J169" i="73"/>
  <c r="J229" i="73" s="1"/>
  <c r="T169" i="73"/>
  <c r="T229" i="73" s="1"/>
  <c r="K169" i="73"/>
  <c r="K229" i="73" s="1"/>
  <c r="M139" i="73"/>
  <c r="T139" i="73"/>
  <c r="L139" i="73"/>
  <c r="O139" i="73"/>
  <c r="P139" i="73"/>
  <c r="M169" i="73"/>
  <c r="M229" i="73" s="1"/>
  <c r="O169" i="73"/>
  <c r="O229" i="73" s="1"/>
  <c r="K139" i="73"/>
  <c r="L169" i="73"/>
  <c r="L229" i="73" s="1"/>
  <c r="N169" i="73"/>
  <c r="N229" i="73" s="1"/>
  <c r="AA274" i="80"/>
  <c r="O138" i="73"/>
  <c r="P138" i="73"/>
  <c r="J138" i="73"/>
  <c r="K138" i="73"/>
  <c r="M168" i="73"/>
  <c r="M228" i="73" s="1"/>
  <c r="O168" i="73"/>
  <c r="O228" i="73" s="1"/>
  <c r="N168" i="73"/>
  <c r="N228" i="73" s="1"/>
  <c r="N138" i="73"/>
  <c r="T168" i="73"/>
  <c r="T228" i="73" s="1"/>
  <c r="L138" i="73"/>
  <c r="M138" i="73"/>
  <c r="P168" i="73"/>
  <c r="P228" i="73" s="1"/>
  <c r="K168" i="73"/>
  <c r="K228" i="73" s="1"/>
  <c r="J168" i="73"/>
  <c r="J228" i="73" s="1"/>
  <c r="T138" i="73"/>
  <c r="L168" i="73"/>
  <c r="L228" i="73" s="1"/>
  <c r="K272" i="80"/>
  <c r="T270" i="80"/>
  <c r="T176" i="80"/>
  <c r="T177" i="80" s="1"/>
  <c r="T274" i="80"/>
  <c r="P276" i="80"/>
  <c r="Z276" i="80"/>
  <c r="Y276" i="80"/>
  <c r="W276" i="80"/>
  <c r="Y273" i="80"/>
  <c r="AA273" i="80"/>
  <c r="Y269" i="80"/>
  <c r="AB269" i="80"/>
  <c r="O275" i="80"/>
  <c r="AB275" i="80"/>
  <c r="Z275" i="80"/>
  <c r="AA275" i="80"/>
  <c r="W272" i="80"/>
  <c r="O164" i="73"/>
  <c r="O224" i="73" s="1"/>
  <c r="K164" i="73"/>
  <c r="K224" i="73" s="1"/>
  <c r="N134" i="73"/>
  <c r="M164" i="73"/>
  <c r="M224" i="73" s="1"/>
  <c r="T134" i="73"/>
  <c r="T164" i="73"/>
  <c r="T224" i="73" s="1"/>
  <c r="M134" i="73"/>
  <c r="N164" i="73"/>
  <c r="N224" i="73" s="1"/>
  <c r="P164" i="73"/>
  <c r="P224" i="73" s="1"/>
  <c r="L164" i="73"/>
  <c r="L224" i="73" s="1"/>
  <c r="P134" i="73"/>
  <c r="J134" i="73"/>
  <c r="J164" i="73"/>
  <c r="J224" i="73" s="1"/>
  <c r="K134" i="73"/>
  <c r="O134" i="73"/>
  <c r="L134" i="73"/>
  <c r="Y270" i="80"/>
  <c r="O271" i="80"/>
  <c r="Y271" i="80"/>
  <c r="X271" i="80"/>
  <c r="AA270" i="80"/>
  <c r="J136" i="73"/>
  <c r="N136" i="73"/>
  <c r="P166" i="73"/>
  <c r="P226" i="73" s="1"/>
  <c r="O136" i="73"/>
  <c r="P136" i="73"/>
  <c r="J166" i="73"/>
  <c r="J226" i="73" s="1"/>
  <c r="K166" i="73"/>
  <c r="K226" i="73" s="1"/>
  <c r="M166" i="73"/>
  <c r="M226" i="73" s="1"/>
  <c r="T136" i="73"/>
  <c r="M136" i="73"/>
  <c r="N166" i="73"/>
  <c r="N226" i="73" s="1"/>
  <c r="L166" i="73"/>
  <c r="L226" i="73" s="1"/>
  <c r="O166" i="73"/>
  <c r="O226" i="73" s="1"/>
  <c r="K136" i="73"/>
  <c r="L136" i="73"/>
  <c r="T166" i="73"/>
  <c r="T226" i="73" s="1"/>
  <c r="T276" i="80"/>
  <c r="X273" i="80"/>
  <c r="W269" i="80"/>
  <c r="X275" i="80"/>
  <c r="O272" i="80"/>
  <c r="W270" i="80"/>
  <c r="Y274" i="80"/>
  <c r="P271" i="80"/>
  <c r="Z271" i="80"/>
  <c r="N135" i="73"/>
  <c r="M165" i="73"/>
  <c r="M225" i="73" s="1"/>
  <c r="O165" i="73"/>
  <c r="O225" i="73" s="1"/>
  <c r="O135" i="73"/>
  <c r="K135" i="73"/>
  <c r="J135" i="73"/>
  <c r="N165" i="73"/>
  <c r="N225" i="73" s="1"/>
  <c r="L165" i="73"/>
  <c r="L225" i="73" s="1"/>
  <c r="T135" i="73"/>
  <c r="L135" i="73"/>
  <c r="T165" i="73"/>
  <c r="T225" i="73" s="1"/>
  <c r="K165" i="73"/>
  <c r="K225" i="73" s="1"/>
  <c r="M135" i="73"/>
  <c r="J165" i="73"/>
  <c r="J225" i="73" s="1"/>
  <c r="P135" i="73"/>
  <c r="P165" i="73"/>
  <c r="P225" i="73" s="1"/>
  <c r="AB271" i="80"/>
  <c r="AA271" i="80"/>
  <c r="J145" i="80"/>
  <c r="L148" i="80"/>
  <c r="L174" i="80" s="1"/>
  <c r="L275" i="80" s="1"/>
  <c r="M145" i="80"/>
  <c r="M171" i="80" s="1"/>
  <c r="M272" i="80" s="1"/>
  <c r="J143" i="80"/>
  <c r="J169" i="80" s="1"/>
  <c r="J270" i="80" s="1"/>
  <c r="M148" i="80"/>
  <c r="M174" i="80" s="1"/>
  <c r="M275" i="80" s="1"/>
  <c r="K146" i="80"/>
  <c r="K172" i="80" s="1"/>
  <c r="K273" i="80" s="1"/>
  <c r="K142" i="80"/>
  <c r="K168" i="80" s="1"/>
  <c r="M52" i="71"/>
  <c r="M157" i="71" s="1"/>
  <c r="M82" i="71"/>
  <c r="M187" i="71" s="1"/>
  <c r="J147" i="80"/>
  <c r="J173" i="80" s="1"/>
  <c r="J274" i="80" s="1"/>
  <c r="O187" i="71"/>
  <c r="K52" i="71"/>
  <c r="K157" i="71" s="1"/>
  <c r="P127" i="71"/>
  <c r="K82" i="71"/>
  <c r="K187" i="71" s="1"/>
  <c r="K143" i="80"/>
  <c r="K169" i="80" s="1"/>
  <c r="K270" i="80" s="1"/>
  <c r="M143" i="80"/>
  <c r="M169" i="80" s="1"/>
  <c r="M270" i="80" s="1"/>
  <c r="P187" i="71"/>
  <c r="T269" i="80"/>
  <c r="J148" i="80"/>
  <c r="J174" i="80" s="1"/>
  <c r="J275" i="80" s="1"/>
  <c r="J146" i="80"/>
  <c r="J172" i="80" s="1"/>
  <c r="J273" i="80" s="1"/>
  <c r="L145" i="80"/>
  <c r="L171" i="80" s="1"/>
  <c r="L272" i="80" s="1"/>
  <c r="M149" i="80"/>
  <c r="M175" i="80" s="1"/>
  <c r="M276" i="80" s="1"/>
  <c r="J144" i="80"/>
  <c r="J170" i="80" s="1"/>
  <c r="J271" i="80" s="1"/>
  <c r="M144" i="80"/>
  <c r="M170" i="80" s="1"/>
  <c r="M271" i="80" s="1"/>
  <c r="K148" i="80"/>
  <c r="K174" i="80" s="1"/>
  <c r="K275" i="80" s="1"/>
  <c r="J142" i="80"/>
  <c r="J168" i="80" s="1"/>
  <c r="J149" i="80"/>
  <c r="J175" i="80" s="1"/>
  <c r="J276" i="80" s="1"/>
  <c r="J150" i="80"/>
  <c r="L143" i="80"/>
  <c r="L169" i="80" s="1"/>
  <c r="L270" i="80" s="1"/>
  <c r="M146" i="80"/>
  <c r="M172" i="80" s="1"/>
  <c r="M273" i="80" s="1"/>
  <c r="M150" i="80"/>
  <c r="O132" i="71"/>
  <c r="P132" i="71"/>
  <c r="J165" i="71"/>
  <c r="J131" i="71"/>
  <c r="O193" i="71"/>
  <c r="O195" i="71"/>
  <c r="J129" i="71"/>
  <c r="J195" i="71"/>
  <c r="J158" i="71"/>
  <c r="O133" i="71"/>
  <c r="J161" i="71"/>
  <c r="J189" i="71"/>
  <c r="O192" i="71"/>
  <c r="J163" i="71"/>
  <c r="J160" i="71"/>
  <c r="J159" i="71"/>
  <c r="J135" i="71"/>
  <c r="O129" i="71"/>
  <c r="J193" i="71"/>
  <c r="O166" i="71"/>
  <c r="J188" i="71"/>
  <c r="J192" i="71"/>
  <c r="J162" i="71"/>
  <c r="P195" i="71"/>
  <c r="J190" i="71"/>
  <c r="J133" i="71"/>
  <c r="J128" i="71"/>
  <c r="J132" i="71"/>
  <c r="P192" i="71"/>
  <c r="O189" i="71"/>
  <c r="J191" i="71"/>
  <c r="J130" i="71"/>
  <c r="O165" i="71"/>
  <c r="L176" i="80" l="1"/>
  <c r="L177" i="80" s="1"/>
  <c r="K208" i="80"/>
  <c r="P208" i="80"/>
  <c r="P177" i="80"/>
  <c r="O176" i="80"/>
  <c r="O177" i="80" s="1"/>
  <c r="S177" i="80"/>
  <c r="R176" i="80"/>
  <c r="R177" i="80" s="1"/>
  <c r="R199" i="73"/>
  <c r="R269" i="73"/>
  <c r="R32" i="74" s="1"/>
  <c r="R77" i="74" s="1"/>
  <c r="Q269" i="73"/>
  <c r="Q32" i="74" s="1"/>
  <c r="Q199" i="73"/>
  <c r="R196" i="73"/>
  <c r="R266" i="73"/>
  <c r="R29" i="74" s="1"/>
  <c r="R74" i="74" s="1"/>
  <c r="S265" i="73"/>
  <c r="S28" i="74" s="1"/>
  <c r="S73" i="74" s="1"/>
  <c r="S195" i="73"/>
  <c r="R195" i="73"/>
  <c r="R265" i="73"/>
  <c r="R28" i="74" s="1"/>
  <c r="R73" i="74" s="1"/>
  <c r="Q267" i="73"/>
  <c r="Q30" i="74" s="1"/>
  <c r="Q197" i="73"/>
  <c r="R200" i="73"/>
  <c r="R270" i="73"/>
  <c r="R33" i="74" s="1"/>
  <c r="R78" i="74" s="1"/>
  <c r="S269" i="73"/>
  <c r="S32" i="74" s="1"/>
  <c r="S77" i="74" s="1"/>
  <c r="S199" i="73"/>
  <c r="S194" i="73"/>
  <c r="S264" i="73"/>
  <c r="S27" i="74" s="1"/>
  <c r="S72" i="74" s="1"/>
  <c r="R264" i="73"/>
  <c r="R27" i="74" s="1"/>
  <c r="R72" i="74" s="1"/>
  <c r="R194" i="73"/>
  <c r="Q194" i="73"/>
  <c r="Q264" i="73"/>
  <c r="Q27" i="74" s="1"/>
  <c r="Q266" i="73"/>
  <c r="Q29" i="74" s="1"/>
  <c r="Q196" i="73"/>
  <c r="Q198" i="73"/>
  <c r="Q268" i="73"/>
  <c r="Q31" i="74" s="1"/>
  <c r="S200" i="73"/>
  <c r="S270" i="73"/>
  <c r="S33" i="74" s="1"/>
  <c r="S78" i="74" s="1"/>
  <c r="S266" i="73"/>
  <c r="S29" i="74" s="1"/>
  <c r="S74" i="74" s="1"/>
  <c r="S196" i="73"/>
  <c r="Q265" i="73"/>
  <c r="Q28" i="74" s="1"/>
  <c r="Q195" i="73"/>
  <c r="S198" i="73"/>
  <c r="S268" i="73"/>
  <c r="S31" i="74" s="1"/>
  <c r="S76" i="74" s="1"/>
  <c r="R268" i="73"/>
  <c r="R31" i="74" s="1"/>
  <c r="R76" i="74" s="1"/>
  <c r="R198" i="73"/>
  <c r="R267" i="73"/>
  <c r="R30" i="74" s="1"/>
  <c r="R75" i="74" s="1"/>
  <c r="R197" i="73"/>
  <c r="S197" i="73"/>
  <c r="S267" i="73"/>
  <c r="S30" i="74" s="1"/>
  <c r="S75" i="74" s="1"/>
  <c r="Q200" i="73"/>
  <c r="Q270" i="73"/>
  <c r="Q33" i="74" s="1"/>
  <c r="K177" i="80"/>
  <c r="M269" i="80"/>
  <c r="K269" i="80"/>
  <c r="J195" i="73"/>
  <c r="J265" i="73"/>
  <c r="J28" i="74" s="1"/>
  <c r="J73" i="74" s="1"/>
  <c r="J266" i="73"/>
  <c r="J29" i="74" s="1"/>
  <c r="J74" i="74" s="1"/>
  <c r="J196" i="73"/>
  <c r="T264" i="73"/>
  <c r="T27" i="74" s="1"/>
  <c r="T72" i="74" s="1"/>
  <c r="T194" i="73"/>
  <c r="M199" i="73"/>
  <c r="M269" i="73"/>
  <c r="M32" i="74" s="1"/>
  <c r="M77" i="74" s="1"/>
  <c r="L267" i="73"/>
  <c r="L30" i="74" s="1"/>
  <c r="L75" i="74" s="1"/>
  <c r="L197" i="73"/>
  <c r="T270" i="73"/>
  <c r="T33" i="74" s="1"/>
  <c r="T78" i="74" s="1"/>
  <c r="T200" i="73"/>
  <c r="M195" i="73"/>
  <c r="M265" i="73"/>
  <c r="M28" i="74" s="1"/>
  <c r="M73" i="74" s="1"/>
  <c r="K195" i="73"/>
  <c r="K265" i="73"/>
  <c r="K28" i="74" s="1"/>
  <c r="K73" i="74" s="1"/>
  <c r="O196" i="73"/>
  <c r="O266" i="73"/>
  <c r="O29" i="74" s="1"/>
  <c r="O74" i="74" s="1"/>
  <c r="L264" i="73"/>
  <c r="L27" i="74" s="1"/>
  <c r="L72" i="74" s="1"/>
  <c r="L194" i="73"/>
  <c r="K269" i="73"/>
  <c r="K32" i="74" s="1"/>
  <c r="K77" i="74" s="1"/>
  <c r="K199" i="73"/>
  <c r="M267" i="73"/>
  <c r="M30" i="74" s="1"/>
  <c r="M75" i="74" s="1"/>
  <c r="M197" i="73"/>
  <c r="N267" i="73"/>
  <c r="N30" i="74" s="1"/>
  <c r="N197" i="73"/>
  <c r="O195" i="73"/>
  <c r="O265" i="73"/>
  <c r="O28" i="74" s="1"/>
  <c r="O73" i="74" s="1"/>
  <c r="L196" i="73"/>
  <c r="L266" i="73"/>
  <c r="L29" i="74" s="1"/>
  <c r="L74" i="74" s="1"/>
  <c r="O194" i="73"/>
  <c r="O264" i="73"/>
  <c r="O27" i="74" s="1"/>
  <c r="O72" i="74" s="1"/>
  <c r="P194" i="73"/>
  <c r="P264" i="73"/>
  <c r="P27" i="74" s="1"/>
  <c r="P72" i="74" s="1"/>
  <c r="M264" i="73"/>
  <c r="M27" i="74" s="1"/>
  <c r="M72" i="74" s="1"/>
  <c r="M194" i="73"/>
  <c r="N194" i="73"/>
  <c r="N264" i="73"/>
  <c r="N27" i="74" s="1"/>
  <c r="N268" i="73"/>
  <c r="N31" i="74" s="1"/>
  <c r="N198" i="73"/>
  <c r="K268" i="73"/>
  <c r="K31" i="74" s="1"/>
  <c r="K76" i="74" s="1"/>
  <c r="K198" i="73"/>
  <c r="L199" i="73"/>
  <c r="L269" i="73"/>
  <c r="L32" i="74" s="1"/>
  <c r="L77" i="74" s="1"/>
  <c r="T267" i="73"/>
  <c r="T30" i="74" s="1"/>
  <c r="T75" i="74" s="1"/>
  <c r="T197" i="73"/>
  <c r="P267" i="73"/>
  <c r="P30" i="74" s="1"/>
  <c r="P75" i="74" s="1"/>
  <c r="P197" i="73"/>
  <c r="M200" i="73"/>
  <c r="M270" i="73"/>
  <c r="M33" i="74" s="1"/>
  <c r="M78" i="74" s="1"/>
  <c r="P270" i="73"/>
  <c r="P33" i="74" s="1"/>
  <c r="P78" i="74" s="1"/>
  <c r="P200" i="73"/>
  <c r="L200" i="73"/>
  <c r="L270" i="73"/>
  <c r="L33" i="74" s="1"/>
  <c r="L78" i="74" s="1"/>
  <c r="L195" i="73"/>
  <c r="L265" i="73"/>
  <c r="L28" i="74" s="1"/>
  <c r="L73" i="74" s="1"/>
  <c r="T266" i="73"/>
  <c r="T29" i="74" s="1"/>
  <c r="T74" i="74" s="1"/>
  <c r="T196" i="73"/>
  <c r="P196" i="73"/>
  <c r="P266" i="73"/>
  <c r="P29" i="74" s="1"/>
  <c r="P74" i="74" s="1"/>
  <c r="L268" i="73"/>
  <c r="L31" i="74" s="1"/>
  <c r="L76" i="74" s="1"/>
  <c r="L198" i="73"/>
  <c r="P268" i="73"/>
  <c r="P31" i="74" s="1"/>
  <c r="P76" i="74" s="1"/>
  <c r="P198" i="73"/>
  <c r="P199" i="73"/>
  <c r="P269" i="73"/>
  <c r="P32" i="74" s="1"/>
  <c r="P77" i="74" s="1"/>
  <c r="J199" i="73"/>
  <c r="J269" i="73"/>
  <c r="J32" i="74" s="1"/>
  <c r="J77" i="74" s="1"/>
  <c r="T195" i="73"/>
  <c r="T265" i="73"/>
  <c r="T28" i="74" s="1"/>
  <c r="T73" i="74" s="1"/>
  <c r="N195" i="73"/>
  <c r="N265" i="73"/>
  <c r="N28" i="74" s="1"/>
  <c r="J264" i="73"/>
  <c r="J27" i="74" s="1"/>
  <c r="J72" i="74" s="1"/>
  <c r="J194" i="73"/>
  <c r="O268" i="73"/>
  <c r="O31" i="74" s="1"/>
  <c r="O76" i="74" s="1"/>
  <c r="O198" i="73"/>
  <c r="O199" i="73"/>
  <c r="O269" i="73"/>
  <c r="O32" i="74" s="1"/>
  <c r="O77" i="74" s="1"/>
  <c r="N269" i="73"/>
  <c r="N32" i="74" s="1"/>
  <c r="N199" i="73"/>
  <c r="K200" i="73"/>
  <c r="K270" i="73"/>
  <c r="K33" i="74" s="1"/>
  <c r="K78" i="74" s="1"/>
  <c r="P195" i="73"/>
  <c r="P265" i="73"/>
  <c r="P28" i="74" s="1"/>
  <c r="P73" i="74" s="1"/>
  <c r="K196" i="73"/>
  <c r="K266" i="73"/>
  <c r="K29" i="74" s="1"/>
  <c r="K74" i="74" s="1"/>
  <c r="M266" i="73"/>
  <c r="M29" i="74" s="1"/>
  <c r="M74" i="74" s="1"/>
  <c r="M196" i="73"/>
  <c r="N266" i="73"/>
  <c r="N29" i="74" s="1"/>
  <c r="N196" i="73"/>
  <c r="K264" i="73"/>
  <c r="K27" i="74" s="1"/>
  <c r="K72" i="74" s="1"/>
  <c r="K194" i="73"/>
  <c r="T268" i="73"/>
  <c r="T31" i="74" s="1"/>
  <c r="T76" i="74" s="1"/>
  <c r="T198" i="73"/>
  <c r="M198" i="73"/>
  <c r="M268" i="73"/>
  <c r="M31" i="74" s="1"/>
  <c r="M76" i="74" s="1"/>
  <c r="J268" i="73"/>
  <c r="J31" i="74" s="1"/>
  <c r="J76" i="74" s="1"/>
  <c r="J198" i="73"/>
  <c r="T269" i="73"/>
  <c r="T32" i="74" s="1"/>
  <c r="T77" i="74" s="1"/>
  <c r="T199" i="73"/>
  <c r="O267" i="73"/>
  <c r="O30" i="74" s="1"/>
  <c r="O75" i="74" s="1"/>
  <c r="O197" i="73"/>
  <c r="K197" i="73"/>
  <c r="K267" i="73"/>
  <c r="K30" i="74" s="1"/>
  <c r="K75" i="74" s="1"/>
  <c r="J197" i="73"/>
  <c r="J267" i="73"/>
  <c r="J30" i="74" s="1"/>
  <c r="J75" i="74" s="1"/>
  <c r="O200" i="73"/>
  <c r="O270" i="73"/>
  <c r="O33" i="74" s="1"/>
  <c r="O78" i="74" s="1"/>
  <c r="N270" i="73"/>
  <c r="N33" i="74" s="1"/>
  <c r="N200" i="73"/>
  <c r="J200" i="73"/>
  <c r="J270" i="73"/>
  <c r="J33" i="74" s="1"/>
  <c r="J78" i="74" s="1"/>
  <c r="J171" i="80"/>
  <c r="J272" i="80" s="1"/>
  <c r="M208" i="80"/>
  <c r="M176" i="80"/>
  <c r="M177" i="80" s="1"/>
  <c r="J208" i="80"/>
  <c r="J176" i="80"/>
  <c r="J269" i="80"/>
  <c r="O134" i="71"/>
  <c r="J164" i="71"/>
  <c r="P194" i="71"/>
  <c r="P196" i="71"/>
  <c r="P166" i="71"/>
  <c r="P134" i="71"/>
  <c r="J194" i="71"/>
  <c r="J166" i="71"/>
  <c r="J134" i="71"/>
  <c r="J136" i="71"/>
  <c r="J196" i="71"/>
  <c r="O164" i="71"/>
  <c r="O194" i="71"/>
  <c r="P164" i="71"/>
  <c r="P136" i="71"/>
  <c r="J177" i="80" l="1"/>
  <c r="J104" i="74"/>
  <c r="J136" i="74" s="1"/>
  <c r="L104" i="74"/>
  <c r="L136" i="74" s="1"/>
  <c r="J106" i="74"/>
  <c r="J138" i="74" s="1"/>
  <c r="L106" i="74"/>
  <c r="L138" i="74" s="1"/>
  <c r="J102" i="74"/>
  <c r="J134" i="74" s="1"/>
  <c r="L102" i="74"/>
  <c r="L134" i="74" s="1"/>
  <c r="J103" i="74"/>
  <c r="J135" i="74" s="1"/>
  <c r="L103" i="74"/>
  <c r="L135" i="74" s="1"/>
  <c r="J105" i="74"/>
  <c r="J137" i="74" s="1"/>
  <c r="L105" i="74"/>
  <c r="L137" i="74" s="1"/>
  <c r="L108" i="74"/>
  <c r="L140" i="74" s="1"/>
  <c r="J108" i="74"/>
  <c r="J140" i="74" s="1"/>
  <c r="J107" i="74"/>
  <c r="J139" i="74" s="1"/>
  <c r="L107" i="74"/>
  <c r="L139" i="74" s="1"/>
  <c r="K260" i="80"/>
  <c r="M260" i="80"/>
  <c r="V79" i="74" l="1"/>
  <c r="U79" i="74"/>
  <c r="V95" i="105" l="1"/>
  <c r="V94" i="105"/>
  <c r="V96" i="105"/>
  <c r="O94" i="105" l="1"/>
  <c r="P96" i="105"/>
  <c r="P94" i="105"/>
  <c r="O96" i="105"/>
  <c r="P95" i="105"/>
  <c r="O95" i="105"/>
  <c r="V84" i="74" l="1"/>
  <c r="V91" i="74"/>
  <c r="V85" i="74"/>
  <c r="V86" i="74"/>
  <c r="V92" i="74"/>
  <c r="V89" i="74"/>
  <c r="V87" i="74"/>
  <c r="V90" i="74"/>
  <c r="V93" i="74"/>
  <c r="V88" i="74"/>
  <c r="U85" i="74"/>
  <c r="U87" i="74"/>
  <c r="U86" i="74"/>
  <c r="U84" i="74"/>
  <c r="U93" i="74"/>
  <c r="U92" i="74"/>
  <c r="U89" i="74"/>
  <c r="U88" i="74"/>
  <c r="U90" i="74"/>
  <c r="U91" i="74"/>
  <c r="V97" i="105" l="1"/>
  <c r="V101" i="105" s="1"/>
  <c r="P97" i="105" l="1"/>
  <c r="P101" i="105" s="1"/>
  <c r="O97" i="105"/>
  <c r="O101" i="105" s="1"/>
  <c r="P129" i="105" l="1"/>
  <c r="P135" i="105"/>
  <c r="AB134" i="105" l="1"/>
  <c r="AB128" i="105"/>
  <c r="AB160" i="105"/>
  <c r="Y130" i="105"/>
  <c r="Y136" i="105"/>
  <c r="X134" i="105"/>
  <c r="X128" i="105"/>
  <c r="X160" i="105"/>
  <c r="Z128" i="105"/>
  <c r="Z134" i="105"/>
  <c r="Z160" i="105"/>
  <c r="X195" i="105" l="1"/>
  <c r="X194" i="105"/>
  <c r="W130" i="105"/>
  <c r="Z195" i="105"/>
  <c r="Z194" i="105"/>
  <c r="AA130" i="105"/>
  <c r="AA136" i="105"/>
  <c r="V136" i="105"/>
  <c r="V130" i="105"/>
  <c r="AB195" i="105"/>
  <c r="AB194" i="105"/>
  <c r="R152" i="41" l="1"/>
  <c r="R34" i="65"/>
  <c r="S150" i="41"/>
  <c r="S32" i="65"/>
  <c r="Q32" i="65"/>
  <c r="Q33" i="65"/>
  <c r="R151" i="41"/>
  <c r="R33" i="65"/>
  <c r="R150" i="41"/>
  <c r="R32" i="65"/>
  <c r="Q34" i="65"/>
  <c r="S152" i="41"/>
  <c r="S34" i="65"/>
  <c r="S151" i="41"/>
  <c r="S33" i="65"/>
  <c r="M130" i="105" l="1"/>
  <c r="M136" i="105"/>
  <c r="M135" i="105"/>
  <c r="M129" i="105"/>
  <c r="Q103" i="41" l="1"/>
  <c r="AJ103" i="41"/>
  <c r="BC103" i="41"/>
  <c r="Q26" i="105"/>
  <c r="Q25" i="105"/>
  <c r="Q27" i="105"/>
  <c r="Q28" i="105"/>
  <c r="Q29" i="105"/>
  <c r="Q30" i="105"/>
  <c r="Q31" i="105"/>
  <c r="N29" i="105"/>
  <c r="Q108" i="22"/>
  <c r="Q112" i="22" s="1"/>
  <c r="Q114" i="22" s="1"/>
  <c r="Q60" i="22"/>
  <c r="Q64" i="22" s="1"/>
  <c r="Q66" i="22" s="1"/>
  <c r="Q29" i="41" s="1"/>
  <c r="Q119" i="22"/>
  <c r="Q123" i="22" s="1"/>
  <c r="Q125" i="22" s="1"/>
  <c r="Q34" i="41" s="1"/>
  <c r="N30" i="105"/>
  <c r="N27" i="105"/>
  <c r="Q82" i="22"/>
  <c r="Q86" i="22" s="1"/>
  <c r="Q88" i="22" s="1"/>
  <c r="N26" i="105"/>
  <c r="Q71" i="22"/>
  <c r="Q75" i="22" s="1"/>
  <c r="Q77" i="22" s="1"/>
  <c r="Q130" i="22"/>
  <c r="Q134" i="22" s="1"/>
  <c r="Q136" i="22" s="1"/>
  <c r="Q35" i="41" s="1"/>
  <c r="Q97" i="22"/>
  <c r="Q101" i="22" s="1"/>
  <c r="Q103" i="22" s="1"/>
  <c r="N25" i="105"/>
  <c r="N28" i="105"/>
  <c r="Q21" i="112"/>
  <c r="Q37" i="112" s="1"/>
  <c r="H82" i="87" l="1" a="1"/>
  <c r="H82" i="87" s="1"/>
  <c r="N119" i="22"/>
  <c r="N123" i="22" s="1"/>
  <c r="N125" i="22" s="1"/>
  <c r="N189" i="80" s="1"/>
  <c r="Q56" i="80"/>
  <c r="N21" i="112"/>
  <c r="N36" i="112" s="1"/>
  <c r="N82" i="22"/>
  <c r="N86" i="22" s="1"/>
  <c r="N88" i="22" s="1"/>
  <c r="N33" i="53" s="1"/>
  <c r="N60" i="22"/>
  <c r="N64" i="22" s="1"/>
  <c r="N66" i="22" s="1"/>
  <c r="N29" i="41" s="1"/>
  <c r="Q156" i="41"/>
  <c r="Q30" i="41"/>
  <c r="Q57" i="80"/>
  <c r="Q155" i="41"/>
  <c r="Q31" i="53"/>
  <c r="Q33" i="41"/>
  <c r="Q188" i="80"/>
  <c r="Q32" i="41"/>
  <c r="Q18" i="74"/>
  <c r="Q16" i="111"/>
  <c r="Q31" i="41"/>
  <c r="Q58" i="80"/>
  <c r="Q36" i="112"/>
  <c r="N31" i="105"/>
  <c r="N130" i="22"/>
  <c r="N134" i="22" s="1"/>
  <c r="N136" i="22" s="1"/>
  <c r="N35" i="41" s="1"/>
  <c r="Q32" i="53"/>
  <c r="Q92" i="22"/>
  <c r="Q17" i="111" s="1"/>
  <c r="Q33" i="53"/>
  <c r="Q189" i="80"/>
  <c r="N71" i="22"/>
  <c r="N75" i="22" s="1"/>
  <c r="N77" i="22" s="1"/>
  <c r="Q150" i="41"/>
  <c r="N97" i="22"/>
  <c r="N101" i="22" s="1"/>
  <c r="N103" i="22" s="1"/>
  <c r="N108" i="22"/>
  <c r="N112" i="22" s="1"/>
  <c r="N114" i="22" s="1"/>
  <c r="H99" i="87" l="1"/>
  <c r="A4" i="87" s="1"/>
  <c r="N31" i="53"/>
  <c r="N56" i="80"/>
  <c r="N34" i="41"/>
  <c r="N155" i="41" s="1"/>
  <c r="N37" i="112"/>
  <c r="H41" i="112" s="1"/>
  <c r="R45" i="112" s="1"/>
  <c r="R46" i="112" s="1"/>
  <c r="Q59" i="80"/>
  <c r="Q200" i="80" s="1"/>
  <c r="Q20" i="74" s="1"/>
  <c r="N58" i="80"/>
  <c r="N31" i="41"/>
  <c r="N84" i="41" s="1"/>
  <c r="AZ103" i="41" s="1"/>
  <c r="H40" i="112"/>
  <c r="J44" i="112" s="1"/>
  <c r="Q28" i="111"/>
  <c r="Q34" i="111" s="1"/>
  <c r="Q27" i="111"/>
  <c r="Q33" i="111" s="1"/>
  <c r="Q154" i="41"/>
  <c r="N33" i="41"/>
  <c r="N188" i="80"/>
  <c r="N191" i="80" s="1"/>
  <c r="N192" i="80" s="1"/>
  <c r="N32" i="41"/>
  <c r="N16" i="111"/>
  <c r="N18" i="74"/>
  <c r="N57" i="80"/>
  <c r="N32" i="53"/>
  <c r="N92" i="22"/>
  <c r="N30" i="41"/>
  <c r="Q34" i="53"/>
  <c r="N82" i="41"/>
  <c r="N103" i="41" s="1"/>
  <c r="Q153" i="41"/>
  <c r="N156" i="41"/>
  <c r="Q152" i="41"/>
  <c r="Q191" i="80"/>
  <c r="Q192" i="80" s="1"/>
  <c r="Q151" i="41"/>
  <c r="J35" i="55" l="1"/>
  <c r="N34" i="53"/>
  <c r="N42" i="53" s="1"/>
  <c r="N48" i="53" s="1"/>
  <c r="N54" i="53" s="1"/>
  <c r="S45" i="112"/>
  <c r="S46" i="112" s="1"/>
  <c r="S47" i="65" s="1"/>
  <c r="N45" i="112"/>
  <c r="N46" i="112" s="1"/>
  <c r="N50" i="112" s="1"/>
  <c r="P45" i="112"/>
  <c r="P46" i="112" s="1"/>
  <c r="P50" i="112" s="1"/>
  <c r="Q45" i="112"/>
  <c r="Q46" i="112" s="1"/>
  <c r="Q43" i="82" s="1"/>
  <c r="O45" i="112"/>
  <c r="O46" i="112" s="1"/>
  <c r="O47" i="65" s="1"/>
  <c r="L45" i="112"/>
  <c r="L46" i="112" s="1"/>
  <c r="L50" i="112" s="1"/>
  <c r="J45" i="112"/>
  <c r="J46" i="112" s="1"/>
  <c r="Q42" i="53"/>
  <c r="Q48" i="53" s="1"/>
  <c r="Q54" i="53" s="1"/>
  <c r="Q204" i="80"/>
  <c r="N83" i="41"/>
  <c r="AG103" i="41" s="1"/>
  <c r="W129" i="74"/>
  <c r="X129" i="74"/>
  <c r="Y129" i="74"/>
  <c r="V129" i="74"/>
  <c r="K129" i="74"/>
  <c r="N129" i="74"/>
  <c r="S129" i="74"/>
  <c r="M129" i="74"/>
  <c r="T129" i="74"/>
  <c r="AA129" i="74"/>
  <c r="R129" i="74"/>
  <c r="Z129" i="74"/>
  <c r="U129" i="74"/>
  <c r="AB129" i="74"/>
  <c r="Q129" i="74"/>
  <c r="P129" i="74"/>
  <c r="O129" i="74"/>
  <c r="N154" i="41"/>
  <c r="N17" i="111"/>
  <c r="H140" i="22" a="1"/>
  <c r="H140" i="22" s="1"/>
  <c r="N28" i="111"/>
  <c r="N34" i="111" s="1"/>
  <c r="H34" i="111" s="1"/>
  <c r="U74" i="81" s="1"/>
  <c r="U76" i="81" s="1"/>
  <c r="N27" i="111"/>
  <c r="N33" i="111" s="1"/>
  <c r="H33" i="111" s="1"/>
  <c r="T74" i="81" s="1"/>
  <c r="T76" i="81" s="1"/>
  <c r="R54" i="112"/>
  <c r="R43" i="82"/>
  <c r="R50" i="112"/>
  <c r="R47" i="65"/>
  <c r="Q71" i="53"/>
  <c r="Q73" i="53" s="1"/>
  <c r="Q69" i="53"/>
  <c r="N239" i="80"/>
  <c r="N202" i="80"/>
  <c r="N242" i="80"/>
  <c r="N240" i="80"/>
  <c r="N243" i="80"/>
  <c r="N244" i="80"/>
  <c r="N246" i="80"/>
  <c r="N241" i="80"/>
  <c r="N245" i="80"/>
  <c r="N59" i="80"/>
  <c r="Q258" i="80"/>
  <c r="Q256" i="80"/>
  <c r="Q253" i="80"/>
  <c r="Q259" i="80"/>
  <c r="Q252" i="80"/>
  <c r="Q242" i="80"/>
  <c r="Q240" i="80"/>
  <c r="Q243" i="80"/>
  <c r="Q246" i="80"/>
  <c r="Q202" i="80"/>
  <c r="Q257" i="80"/>
  <c r="Q241" i="80"/>
  <c r="Q245" i="80"/>
  <c r="Q254" i="80"/>
  <c r="Q244" i="80"/>
  <c r="Q255" i="80"/>
  <c r="Q239" i="80"/>
  <c r="N153" i="41"/>
  <c r="Q78" i="74"/>
  <c r="Q76" i="74"/>
  <c r="Q74" i="74"/>
  <c r="Q77" i="74"/>
  <c r="Q72" i="74"/>
  <c r="Q75" i="74"/>
  <c r="Q73" i="74"/>
  <c r="O43" i="82" l="1"/>
  <c r="S54" i="112"/>
  <c r="O50" i="112"/>
  <c r="S43" i="82"/>
  <c r="S50" i="112"/>
  <c r="N43" i="53"/>
  <c r="N49" i="53" s="1"/>
  <c r="N44" i="53"/>
  <c r="N50" i="53" s="1"/>
  <c r="N69" i="53"/>
  <c r="N47" i="65"/>
  <c r="L54" i="112"/>
  <c r="L60" i="112" s="1"/>
  <c r="Q44" i="53"/>
  <c r="Q50" i="53" s="1"/>
  <c r="Q43" i="53"/>
  <c r="Q49" i="53" s="1"/>
  <c r="N71" i="53"/>
  <c r="N73" i="53" s="1"/>
  <c r="Q79" i="53" s="1"/>
  <c r="Q85" i="53" s="1"/>
  <c r="Q206" i="80"/>
  <c r="L47" i="65"/>
  <c r="P47" i="65"/>
  <c r="P54" i="112"/>
  <c r="P60" i="112" s="1"/>
  <c r="P43" i="82"/>
  <c r="O54" i="112"/>
  <c r="N54" i="112"/>
  <c r="N60" i="112" s="1"/>
  <c r="L43" i="82"/>
  <c r="N43" i="82"/>
  <c r="Q54" i="112"/>
  <c r="Q47" i="65"/>
  <c r="Q50" i="112"/>
  <c r="N200" i="80"/>
  <c r="U108" i="81"/>
  <c r="T52" i="82" s="1"/>
  <c r="O132" i="74"/>
  <c r="O133" i="74"/>
  <c r="U132" i="74"/>
  <c r="U133" i="74"/>
  <c r="T132" i="74"/>
  <c r="T133" i="74"/>
  <c r="K132" i="74"/>
  <c r="K133" i="74"/>
  <c r="W132" i="74"/>
  <c r="W133" i="74"/>
  <c r="H38" i="111" a="1"/>
  <c r="H38" i="111" s="1"/>
  <c r="Q132" i="74"/>
  <c r="Q133" i="74"/>
  <c r="R132" i="74"/>
  <c r="R133" i="74"/>
  <c r="S132" i="74"/>
  <c r="S133" i="74"/>
  <c r="Y132" i="74"/>
  <c r="Y133" i="74"/>
  <c r="A4" i="22"/>
  <c r="J41" i="55"/>
  <c r="P132" i="74"/>
  <c r="P133" i="74"/>
  <c r="Z132" i="74"/>
  <c r="Z133" i="74"/>
  <c r="M132" i="74"/>
  <c r="M133" i="74"/>
  <c r="V132" i="74"/>
  <c r="V133" i="74"/>
  <c r="R60" i="112"/>
  <c r="T108" i="81"/>
  <c r="S52" i="82" s="1"/>
  <c r="J54" i="112"/>
  <c r="J43" i="82"/>
  <c r="J50" i="112"/>
  <c r="J47" i="65"/>
  <c r="AB132" i="74"/>
  <c r="AB133" i="74"/>
  <c r="AA132" i="74"/>
  <c r="AA133" i="74"/>
  <c r="N132" i="74"/>
  <c r="N133" i="74"/>
  <c r="X132" i="74"/>
  <c r="X133" i="74"/>
  <c r="N259" i="80" l="1"/>
  <c r="N256" i="80"/>
  <c r="N258" i="80"/>
  <c r="N255" i="80"/>
  <c r="N254" i="80"/>
  <c r="N253" i="80"/>
  <c r="N257" i="80"/>
  <c r="N252" i="80"/>
  <c r="S60" i="112"/>
  <c r="O60" i="112"/>
  <c r="N79" i="53"/>
  <c r="N85" i="53" s="1"/>
  <c r="N77" i="53"/>
  <c r="N83" i="53" s="1"/>
  <c r="Q77" i="53"/>
  <c r="Q83" i="53" s="1"/>
  <c r="Q91" i="53" s="1"/>
  <c r="Q60" i="112"/>
  <c r="H56" i="112"/>
  <c r="H77" i="105" s="1"/>
  <c r="H119" i="105" s="1"/>
  <c r="H52" i="112"/>
  <c r="H76" i="105" s="1"/>
  <c r="H118" i="105" s="1"/>
  <c r="J60" i="112"/>
  <c r="A4" i="111"/>
  <c r="J44" i="55"/>
  <c r="N20" i="74"/>
  <c r="N204" i="80"/>
  <c r="N206" i="80" s="1"/>
  <c r="N91" i="53" l="1"/>
  <c r="N93" i="53" s="1"/>
  <c r="N278" i="53" s="1"/>
  <c r="Q93" i="53"/>
  <c r="Q280" i="53" s="1"/>
  <c r="Q267" i="53"/>
  <c r="Q78" i="83" s="1"/>
  <c r="H62" i="112"/>
  <c r="H64" i="112" s="1"/>
  <c r="H66" i="112" s="1" a="1"/>
  <c r="H66" i="112" s="1"/>
  <c r="A4" i="112" s="1"/>
  <c r="N72" i="74"/>
  <c r="N74" i="74"/>
  <c r="N77" i="74"/>
  <c r="N75" i="74"/>
  <c r="N78" i="74"/>
  <c r="N76" i="74"/>
  <c r="N73" i="74"/>
  <c r="N267" i="53" l="1"/>
  <c r="N78" i="83" s="1"/>
  <c r="N301" i="53"/>
  <c r="N113" i="83" s="1"/>
  <c r="N218" i="83" s="1"/>
  <c r="N90" i="71" s="1"/>
  <c r="N195" i="71" s="1"/>
  <c r="N286" i="53"/>
  <c r="N97" i="83" s="1"/>
  <c r="N185" i="83" s="1"/>
  <c r="N56" i="71" s="1"/>
  <c r="N161" i="71" s="1"/>
  <c r="N272" i="53"/>
  <c r="N81" i="83" s="1"/>
  <c r="N152" i="83" s="1"/>
  <c r="Q298" i="53"/>
  <c r="Q110" i="83" s="1"/>
  <c r="Q215" i="83" s="1"/>
  <c r="Q87" i="71" s="1"/>
  <c r="Q192" i="71" s="1"/>
  <c r="Q277" i="53"/>
  <c r="Q75" i="80" s="1"/>
  <c r="Q87" i="80" s="1"/>
  <c r="Q272" i="53"/>
  <c r="Q82" i="83" s="1"/>
  <c r="Q153" i="83" s="1"/>
  <c r="Q23" i="71" s="1"/>
  <c r="Q128" i="71" s="1"/>
  <c r="Q275" i="53"/>
  <c r="Q85" i="83" s="1"/>
  <c r="Q156" i="83" s="1"/>
  <c r="Q26" i="71" s="1"/>
  <c r="Q131" i="71" s="1"/>
  <c r="Q287" i="53"/>
  <c r="Q98" i="83" s="1"/>
  <c r="Q186" i="83" s="1"/>
  <c r="Q57" i="71" s="1"/>
  <c r="Q162" i="71" s="1"/>
  <c r="Q284" i="53"/>
  <c r="Q94" i="80" s="1"/>
  <c r="Q106" i="80" s="1"/>
  <c r="Q278" i="53"/>
  <c r="Q76" i="80" s="1"/>
  <c r="Q88" i="80" s="1"/>
  <c r="Q299" i="53"/>
  <c r="Q121" i="80" s="1"/>
  <c r="Q133" i="80" s="1"/>
  <c r="Q295" i="53"/>
  <c r="Q107" i="83" s="1"/>
  <c r="Q212" i="83" s="1"/>
  <c r="Q84" i="71" s="1"/>
  <c r="Q189" i="71" s="1"/>
  <c r="Q300" i="53"/>
  <c r="Q112" i="83" s="1"/>
  <c r="Q217" i="83" s="1"/>
  <c r="Q89" i="71" s="1"/>
  <c r="Q194" i="71" s="1"/>
  <c r="Q289" i="53"/>
  <c r="Q99" i="80" s="1"/>
  <c r="Q111" i="80" s="1"/>
  <c r="Q283" i="53"/>
  <c r="Q93" i="83" s="1"/>
  <c r="Q181" i="83" s="1"/>
  <c r="Q52" i="71" s="1"/>
  <c r="Q157" i="71" s="1"/>
  <c r="Q297" i="53"/>
  <c r="Q109" i="83" s="1"/>
  <c r="Q214" i="83" s="1"/>
  <c r="Q86" i="71" s="1"/>
  <c r="Q191" i="71" s="1"/>
  <c r="N275" i="53"/>
  <c r="N85" i="83" s="1"/>
  <c r="N156" i="83" s="1"/>
  <c r="N26" i="71" s="1"/>
  <c r="N131" i="71" s="1"/>
  <c r="N277" i="53"/>
  <c r="N87" i="83" s="1"/>
  <c r="N158" i="83" s="1"/>
  <c r="N28" i="71" s="1"/>
  <c r="N133" i="71" s="1"/>
  <c r="N285" i="53"/>
  <c r="N95" i="80" s="1"/>
  <c r="N107" i="80" s="1"/>
  <c r="N291" i="53"/>
  <c r="N102" i="83" s="1"/>
  <c r="N190" i="83" s="1"/>
  <c r="N61" i="71" s="1"/>
  <c r="N166" i="71" s="1"/>
  <c r="N284" i="53"/>
  <c r="N94" i="80" s="1"/>
  <c r="N106" i="80" s="1"/>
  <c r="N280" i="53"/>
  <c r="N78" i="80" s="1"/>
  <c r="N90" i="80" s="1"/>
  <c r="N295" i="53"/>
  <c r="N117" i="80" s="1"/>
  <c r="N129" i="80" s="1"/>
  <c r="N302" i="53"/>
  <c r="N124" i="80" s="1"/>
  <c r="N136" i="80" s="1"/>
  <c r="Q276" i="53"/>
  <c r="Q86" i="83" s="1"/>
  <c r="Q157" i="83" s="1"/>
  <c r="Q27" i="71" s="1"/>
  <c r="Q132" i="71" s="1"/>
  <c r="Q279" i="53"/>
  <c r="Q77" i="80" s="1"/>
  <c r="Q89" i="80" s="1"/>
  <c r="N297" i="53"/>
  <c r="N109" i="83" s="1"/>
  <c r="N214" i="83" s="1"/>
  <c r="N86" i="71" s="1"/>
  <c r="N191" i="71" s="1"/>
  <c r="N296" i="53"/>
  <c r="N108" i="83" s="1"/>
  <c r="N213" i="83" s="1"/>
  <c r="N85" i="71" s="1"/>
  <c r="N190" i="71" s="1"/>
  <c r="N294" i="53"/>
  <c r="N116" i="80" s="1"/>
  <c r="N128" i="80" s="1"/>
  <c r="N283" i="53"/>
  <c r="N93" i="83" s="1"/>
  <c r="N181" i="83" s="1"/>
  <c r="N52" i="71" s="1"/>
  <c r="N157" i="71" s="1"/>
  <c r="Q273" i="53"/>
  <c r="Q83" i="83" s="1"/>
  <c r="Q154" i="83" s="1"/>
  <c r="Q24" i="71" s="1"/>
  <c r="Q129" i="71" s="1"/>
  <c r="Q296" i="53"/>
  <c r="Q118" i="80" s="1"/>
  <c r="Q130" i="80" s="1"/>
  <c r="Q302" i="53"/>
  <c r="Q114" i="83" s="1"/>
  <c r="Q219" i="83" s="1"/>
  <c r="Q91" i="71" s="1"/>
  <c r="Q196" i="71" s="1"/>
  <c r="Q294" i="53"/>
  <c r="Q105" i="83" s="1"/>
  <c r="Q210" i="83" s="1"/>
  <c r="Q82" i="71" s="1"/>
  <c r="Q187" i="71" s="1"/>
  <c r="Q301" i="53"/>
  <c r="Q113" i="83" s="1"/>
  <c r="Q218" i="83" s="1"/>
  <c r="Q90" i="71" s="1"/>
  <c r="Q195" i="71" s="1"/>
  <c r="Q274" i="53"/>
  <c r="Q84" i="83" s="1"/>
  <c r="Q155" i="83" s="1"/>
  <c r="Q25" i="71" s="1"/>
  <c r="Q130" i="71" s="1"/>
  <c r="Q291" i="53"/>
  <c r="Q102" i="83" s="1"/>
  <c r="Q190" i="83" s="1"/>
  <c r="Q61" i="71" s="1"/>
  <c r="Q166" i="71" s="1"/>
  <c r="Q286" i="53"/>
  <c r="Q97" i="83" s="1"/>
  <c r="Q185" i="83" s="1"/>
  <c r="Q56" i="71" s="1"/>
  <c r="Q161" i="71" s="1"/>
  <c r="Q285" i="53"/>
  <c r="Q95" i="80" s="1"/>
  <c r="Q107" i="80" s="1"/>
  <c r="Q288" i="53"/>
  <c r="Q99" i="83" s="1"/>
  <c r="Q187" i="83" s="1"/>
  <c r="Q58" i="71" s="1"/>
  <c r="Q163" i="71" s="1"/>
  <c r="Q290" i="53"/>
  <c r="Q100" i="80" s="1"/>
  <c r="Q112" i="80" s="1"/>
  <c r="N273" i="53"/>
  <c r="N71" i="80" s="1"/>
  <c r="N83" i="80" s="1"/>
  <c r="N288" i="53"/>
  <c r="N98" i="80" s="1"/>
  <c r="N110" i="80" s="1"/>
  <c r="N289" i="53"/>
  <c r="N100" i="83" s="1"/>
  <c r="N188" i="83" s="1"/>
  <c r="N59" i="71" s="1"/>
  <c r="N164" i="71" s="1"/>
  <c r="N287" i="53"/>
  <c r="N97" i="80" s="1"/>
  <c r="N109" i="80" s="1"/>
  <c r="N279" i="53"/>
  <c r="N77" i="80" s="1"/>
  <c r="N89" i="80" s="1"/>
  <c r="N300" i="53"/>
  <c r="N122" i="80" s="1"/>
  <c r="N134" i="80" s="1"/>
  <c r="N290" i="53"/>
  <c r="N101" i="83" s="1"/>
  <c r="N189" i="83" s="1"/>
  <c r="N60" i="71" s="1"/>
  <c r="N165" i="71" s="1"/>
  <c r="N299" i="53"/>
  <c r="N121" i="80" s="1"/>
  <c r="N133" i="80" s="1"/>
  <c r="N298" i="53"/>
  <c r="N110" i="83" s="1"/>
  <c r="N215" i="83" s="1"/>
  <c r="N87" i="71" s="1"/>
  <c r="N192" i="71" s="1"/>
  <c r="N276" i="53"/>
  <c r="N86" i="83" s="1"/>
  <c r="N157" i="83" s="1"/>
  <c r="N27" i="71" s="1"/>
  <c r="N132" i="71" s="1"/>
  <c r="N274" i="53"/>
  <c r="N72" i="80" s="1"/>
  <c r="N84" i="80" s="1"/>
  <c r="N126" i="83"/>
  <c r="N126" i="72" s="1"/>
  <c r="N196" i="72" s="1"/>
  <c r="N226" i="72" s="1"/>
  <c r="N127" i="83"/>
  <c r="N127" i="72" s="1"/>
  <c r="N197" i="72" s="1"/>
  <c r="N227" i="72" s="1"/>
  <c r="N124" i="83"/>
  <c r="N129" i="83"/>
  <c r="N129" i="72" s="1"/>
  <c r="N199" i="72" s="1"/>
  <c r="N229" i="72" s="1"/>
  <c r="N130" i="83"/>
  <c r="N130" i="72" s="1"/>
  <c r="N200" i="72" s="1"/>
  <c r="N230" i="72" s="1"/>
  <c r="N123" i="83"/>
  <c r="N128" i="83"/>
  <c r="N128" i="72" s="1"/>
  <c r="N198" i="72" s="1"/>
  <c r="N228" i="72" s="1"/>
  <c r="N132" i="83"/>
  <c r="N132" i="72" s="1"/>
  <c r="N202" i="72" s="1"/>
  <c r="N232" i="72" s="1"/>
  <c r="N131" i="83"/>
  <c r="N131" i="72" s="1"/>
  <c r="N201" i="72" s="1"/>
  <c r="N231" i="72" s="1"/>
  <c r="N125" i="83"/>
  <c r="N125" i="72" s="1"/>
  <c r="N195" i="72" s="1"/>
  <c r="N225" i="72" s="1"/>
  <c r="Q123" i="83"/>
  <c r="Q128" i="83"/>
  <c r="Q128" i="72" s="1"/>
  <c r="Q198" i="72" s="1"/>
  <c r="Q228" i="72" s="1"/>
  <c r="Q124" i="83"/>
  <c r="Q129" i="83"/>
  <c r="Q129" i="72" s="1"/>
  <c r="Q199" i="72" s="1"/>
  <c r="Q229" i="72" s="1"/>
  <c r="Q130" i="83"/>
  <c r="Q130" i="72" s="1"/>
  <c r="Q200" i="72" s="1"/>
  <c r="Q230" i="72" s="1"/>
  <c r="Q125" i="83"/>
  <c r="Q125" i="72" s="1"/>
  <c r="Q195" i="72" s="1"/>
  <c r="Q225" i="72" s="1"/>
  <c r="Q127" i="83"/>
  <c r="Q127" i="72" s="1"/>
  <c r="Q197" i="72" s="1"/>
  <c r="Q227" i="72" s="1"/>
  <c r="Q132" i="83"/>
  <c r="Q132" i="72" s="1"/>
  <c r="Q202" i="72" s="1"/>
  <c r="Q232" i="72" s="1"/>
  <c r="Q126" i="83"/>
  <c r="Q126" i="72" s="1"/>
  <c r="Q196" i="72" s="1"/>
  <c r="Q226" i="72" s="1"/>
  <c r="Q131" i="83"/>
  <c r="Q131" i="72" s="1"/>
  <c r="Q201" i="72" s="1"/>
  <c r="Q231" i="72" s="1"/>
  <c r="J53" i="55"/>
  <c r="R108" i="74"/>
  <c r="R140" i="74" s="1"/>
  <c r="M108" i="74"/>
  <c r="M140" i="74" s="1"/>
  <c r="O108" i="74"/>
  <c r="O140" i="74" s="1"/>
  <c r="P108" i="74"/>
  <c r="P140" i="74" s="1"/>
  <c r="U108" i="74"/>
  <c r="U140" i="74" s="1"/>
  <c r="S108" i="74"/>
  <c r="S140" i="74" s="1"/>
  <c r="T108" i="74"/>
  <c r="T140" i="74" s="1"/>
  <c r="Q108" i="74"/>
  <c r="Q140" i="74" s="1"/>
  <c r="Z108" i="74"/>
  <c r="Z140" i="74" s="1"/>
  <c r="X108" i="74"/>
  <c r="X140" i="74" s="1"/>
  <c r="AA108" i="74"/>
  <c r="AA140" i="74" s="1"/>
  <c r="N108" i="74"/>
  <c r="N140" i="74" s="1"/>
  <c r="W108" i="74"/>
  <c r="W140" i="74" s="1"/>
  <c r="V108" i="74"/>
  <c r="V140" i="74" s="1"/>
  <c r="Y108" i="74"/>
  <c r="Y140" i="74" s="1"/>
  <c r="K108" i="74"/>
  <c r="K140" i="74" s="1"/>
  <c r="AB108" i="74"/>
  <c r="AB140" i="74" s="1"/>
  <c r="AA102" i="74"/>
  <c r="AA134" i="74" s="1"/>
  <c r="N102" i="74"/>
  <c r="N134" i="74" s="1"/>
  <c r="AB102" i="74"/>
  <c r="AB134" i="74" s="1"/>
  <c r="U102" i="74"/>
  <c r="U134" i="74" s="1"/>
  <c r="T102" i="74"/>
  <c r="T134" i="74" s="1"/>
  <c r="Y102" i="74"/>
  <c r="Y134" i="74" s="1"/>
  <c r="X102" i="74"/>
  <c r="X134" i="74" s="1"/>
  <c r="Z102" i="74"/>
  <c r="Z134" i="74" s="1"/>
  <c r="M102" i="74"/>
  <c r="M134" i="74" s="1"/>
  <c r="S102" i="74"/>
  <c r="S134" i="74" s="1"/>
  <c r="V102" i="74"/>
  <c r="V134" i="74" s="1"/>
  <c r="K102" i="74"/>
  <c r="K134" i="74" s="1"/>
  <c r="O102" i="74"/>
  <c r="O134" i="74" s="1"/>
  <c r="Q102" i="74"/>
  <c r="Q134" i="74" s="1"/>
  <c r="W102" i="74"/>
  <c r="W134" i="74" s="1"/>
  <c r="P102" i="74"/>
  <c r="P134" i="74" s="1"/>
  <c r="R102" i="74"/>
  <c r="R134" i="74" s="1"/>
  <c r="Q120" i="80"/>
  <c r="Q132" i="80" s="1"/>
  <c r="N88" i="83"/>
  <c r="N159" i="83" s="1"/>
  <c r="N29" i="71" s="1"/>
  <c r="N134" i="71" s="1"/>
  <c r="N76" i="80"/>
  <c r="N88" i="80" s="1"/>
  <c r="S103" i="74"/>
  <c r="S135" i="74" s="1"/>
  <c r="K103" i="74"/>
  <c r="K135" i="74" s="1"/>
  <c r="Y103" i="74"/>
  <c r="Y135" i="74" s="1"/>
  <c r="Z103" i="74"/>
  <c r="Z135" i="74" s="1"/>
  <c r="O103" i="74"/>
  <c r="O135" i="74" s="1"/>
  <c r="R103" i="74"/>
  <c r="R135" i="74" s="1"/>
  <c r="V103" i="74"/>
  <c r="V135" i="74" s="1"/>
  <c r="AA103" i="74"/>
  <c r="AA135" i="74" s="1"/>
  <c r="U103" i="74"/>
  <c r="U135" i="74" s="1"/>
  <c r="P103" i="74"/>
  <c r="P135" i="74" s="1"/>
  <c r="W103" i="74"/>
  <c r="W135" i="74" s="1"/>
  <c r="Q103" i="74"/>
  <c r="Q135" i="74" s="1"/>
  <c r="M103" i="74"/>
  <c r="M135" i="74" s="1"/>
  <c r="T103" i="74"/>
  <c r="T135" i="74" s="1"/>
  <c r="AB103" i="74"/>
  <c r="AB135" i="74" s="1"/>
  <c r="N103" i="74"/>
  <c r="N135" i="74" s="1"/>
  <c r="X103" i="74"/>
  <c r="X135" i="74" s="1"/>
  <c r="O105" i="74"/>
  <c r="O137" i="74" s="1"/>
  <c r="R105" i="74"/>
  <c r="R137" i="74" s="1"/>
  <c r="X105" i="74"/>
  <c r="X137" i="74" s="1"/>
  <c r="S105" i="74"/>
  <c r="S137" i="74" s="1"/>
  <c r="V105" i="74"/>
  <c r="V137" i="74" s="1"/>
  <c r="AB105" i="74"/>
  <c r="AB137" i="74" s="1"/>
  <c r="N105" i="74"/>
  <c r="N137" i="74" s="1"/>
  <c r="AA105" i="74"/>
  <c r="AA137" i="74" s="1"/>
  <c r="W105" i="74"/>
  <c r="W137" i="74" s="1"/>
  <c r="T105" i="74"/>
  <c r="T137" i="74" s="1"/>
  <c r="P105" i="74"/>
  <c r="P137" i="74" s="1"/>
  <c r="Y105" i="74"/>
  <c r="Y137" i="74" s="1"/>
  <c r="K105" i="74"/>
  <c r="K137" i="74" s="1"/>
  <c r="Z105" i="74"/>
  <c r="Z137" i="74" s="1"/>
  <c r="M105" i="74"/>
  <c r="M137" i="74" s="1"/>
  <c r="U105" i="74"/>
  <c r="U137" i="74" s="1"/>
  <c r="Q105" i="74"/>
  <c r="Q137" i="74" s="1"/>
  <c r="R106" i="74"/>
  <c r="R138" i="74" s="1"/>
  <c r="K106" i="74"/>
  <c r="K138" i="74" s="1"/>
  <c r="S106" i="74"/>
  <c r="S138" i="74" s="1"/>
  <c r="N106" i="74"/>
  <c r="N138" i="74" s="1"/>
  <c r="X106" i="74"/>
  <c r="X138" i="74" s="1"/>
  <c r="W106" i="74"/>
  <c r="W138" i="74" s="1"/>
  <c r="Q106" i="74"/>
  <c r="Q138" i="74" s="1"/>
  <c r="Z106" i="74"/>
  <c r="Z138" i="74" s="1"/>
  <c r="AB106" i="74"/>
  <c r="AB138" i="74" s="1"/>
  <c r="AA106" i="74"/>
  <c r="AA138" i="74" s="1"/>
  <c r="U106" i="74"/>
  <c r="U138" i="74" s="1"/>
  <c r="M106" i="74"/>
  <c r="M138" i="74" s="1"/>
  <c r="V106" i="74"/>
  <c r="V138" i="74" s="1"/>
  <c r="Y106" i="74"/>
  <c r="Y138" i="74" s="1"/>
  <c r="O106" i="74"/>
  <c r="O138" i="74" s="1"/>
  <c r="T106" i="74"/>
  <c r="T138" i="74" s="1"/>
  <c r="P106" i="74"/>
  <c r="P138" i="74" s="1"/>
  <c r="AA107" i="74"/>
  <c r="AA139" i="74" s="1"/>
  <c r="Q107" i="74"/>
  <c r="Q139" i="74" s="1"/>
  <c r="Z107" i="74"/>
  <c r="Z139" i="74" s="1"/>
  <c r="R107" i="74"/>
  <c r="R139" i="74" s="1"/>
  <c r="M107" i="74"/>
  <c r="M139" i="74" s="1"/>
  <c r="W107" i="74"/>
  <c r="W139" i="74" s="1"/>
  <c r="P107" i="74"/>
  <c r="P139" i="74" s="1"/>
  <c r="T107" i="74"/>
  <c r="T139" i="74" s="1"/>
  <c r="AB107" i="74"/>
  <c r="AB139" i="74" s="1"/>
  <c r="K107" i="74"/>
  <c r="K139" i="74" s="1"/>
  <c r="O107" i="74"/>
  <c r="O139" i="74" s="1"/>
  <c r="X107" i="74"/>
  <c r="X139" i="74" s="1"/>
  <c r="N107" i="74"/>
  <c r="N139" i="74" s="1"/>
  <c r="Y107" i="74"/>
  <c r="Y139" i="74" s="1"/>
  <c r="S107" i="74"/>
  <c r="S139" i="74" s="1"/>
  <c r="V107" i="74"/>
  <c r="V139" i="74" s="1"/>
  <c r="U107" i="74"/>
  <c r="U139" i="74" s="1"/>
  <c r="M104" i="74"/>
  <c r="M136" i="74" s="1"/>
  <c r="AA104" i="74"/>
  <c r="AA136" i="74" s="1"/>
  <c r="N104" i="74"/>
  <c r="N136" i="74" s="1"/>
  <c r="S104" i="74"/>
  <c r="S136" i="74" s="1"/>
  <c r="AB104" i="74"/>
  <c r="AB136" i="74" s="1"/>
  <c r="P104" i="74"/>
  <c r="P136" i="74" s="1"/>
  <c r="Y104" i="74"/>
  <c r="Y136" i="74" s="1"/>
  <c r="W104" i="74"/>
  <c r="W136" i="74" s="1"/>
  <c r="K104" i="74"/>
  <c r="K136" i="74" s="1"/>
  <c r="X104" i="74"/>
  <c r="X136" i="74" s="1"/>
  <c r="T104" i="74"/>
  <c r="T136" i="74" s="1"/>
  <c r="O104" i="74"/>
  <c r="O136" i="74" s="1"/>
  <c r="Z104" i="74"/>
  <c r="Z136" i="74" s="1"/>
  <c r="Q104" i="74"/>
  <c r="Q136" i="74" s="1"/>
  <c r="U104" i="74"/>
  <c r="U136" i="74" s="1"/>
  <c r="V104" i="74"/>
  <c r="V136" i="74" s="1"/>
  <c r="R104" i="74"/>
  <c r="R136" i="74" s="1"/>
  <c r="Q90" i="83"/>
  <c r="Q161" i="83" s="1"/>
  <c r="Q31" i="71" s="1"/>
  <c r="Q136" i="71" s="1"/>
  <c r="Q78" i="80"/>
  <c r="Q90" i="80" s="1"/>
  <c r="N123" i="80" l="1"/>
  <c r="N135" i="80" s="1"/>
  <c r="N90" i="83"/>
  <c r="N161" i="83" s="1"/>
  <c r="N31" i="71" s="1"/>
  <c r="N136" i="71" s="1"/>
  <c r="Q111" i="83"/>
  <c r="Q216" i="83" s="1"/>
  <c r="Q88" i="71" s="1"/>
  <c r="Q193" i="71" s="1"/>
  <c r="N82" i="83"/>
  <c r="N153" i="83" s="1"/>
  <c r="N23" i="71" s="1"/>
  <c r="N128" i="71" s="1"/>
  <c r="Q73" i="80"/>
  <c r="Q85" i="80" s="1"/>
  <c r="N96" i="83"/>
  <c r="N184" i="83" s="1"/>
  <c r="N55" i="71" s="1"/>
  <c r="N160" i="71" s="1"/>
  <c r="Q94" i="83"/>
  <c r="Q182" i="83" s="1"/>
  <c r="Q53" i="71" s="1"/>
  <c r="Q158" i="71" s="1"/>
  <c r="N70" i="80"/>
  <c r="N82" i="80" s="1"/>
  <c r="Q93" i="80"/>
  <c r="Q105" i="80" s="1"/>
  <c r="N96" i="80"/>
  <c r="N108" i="80" s="1"/>
  <c r="Q95" i="83"/>
  <c r="Q183" i="83" s="1"/>
  <c r="Q54" i="71" s="1"/>
  <c r="Q159" i="71" s="1"/>
  <c r="Q119" i="80"/>
  <c r="Q131" i="80" s="1"/>
  <c r="N119" i="80"/>
  <c r="N131" i="80" s="1"/>
  <c r="N74" i="80"/>
  <c r="N86" i="80" s="1"/>
  <c r="Q122" i="80"/>
  <c r="Q134" i="80" s="1"/>
  <c r="Q148" i="80" s="1"/>
  <c r="Q174" i="80" s="1"/>
  <c r="Q275" i="80" s="1"/>
  <c r="Q97" i="80"/>
  <c r="Q109" i="80" s="1"/>
  <c r="Q117" i="80"/>
  <c r="Q129" i="80" s="1"/>
  <c r="N95" i="83"/>
  <c r="N183" i="83" s="1"/>
  <c r="N54" i="71" s="1"/>
  <c r="N159" i="71" s="1"/>
  <c r="Q87" i="83"/>
  <c r="Q158" i="83" s="1"/>
  <c r="Q28" i="71" s="1"/>
  <c r="Q133" i="71" s="1"/>
  <c r="N73" i="80"/>
  <c r="N85" i="80" s="1"/>
  <c r="Q70" i="80"/>
  <c r="Q82" i="80" s="1"/>
  <c r="Q100" i="83"/>
  <c r="Q188" i="83" s="1"/>
  <c r="Q59" i="71" s="1"/>
  <c r="Q164" i="71" s="1"/>
  <c r="Q81" i="83"/>
  <c r="Q152" i="83" s="1"/>
  <c r="Q22" i="71" s="1"/>
  <c r="Q127" i="71" s="1"/>
  <c r="N75" i="80"/>
  <c r="N87" i="80" s="1"/>
  <c r="N147" i="80" s="1"/>
  <c r="Q89" i="83"/>
  <c r="Q160" i="83" s="1"/>
  <c r="Q30" i="71" s="1"/>
  <c r="Q135" i="71" s="1"/>
  <c r="Q88" i="83"/>
  <c r="Q159" i="83" s="1"/>
  <c r="Q29" i="71" s="1"/>
  <c r="Q134" i="71" s="1"/>
  <c r="N114" i="83"/>
  <c r="N219" i="83" s="1"/>
  <c r="N91" i="71" s="1"/>
  <c r="N196" i="71" s="1"/>
  <c r="N101" i="80"/>
  <c r="N113" i="80" s="1"/>
  <c r="N99" i="83"/>
  <c r="N187" i="83" s="1"/>
  <c r="N58" i="71" s="1"/>
  <c r="N163" i="71" s="1"/>
  <c r="Q96" i="83"/>
  <c r="Q184" i="83" s="1"/>
  <c r="Q55" i="71" s="1"/>
  <c r="Q160" i="71" s="1"/>
  <c r="N107" i="83"/>
  <c r="N212" i="83" s="1"/>
  <c r="N84" i="71" s="1"/>
  <c r="N189" i="71" s="1"/>
  <c r="Q123" i="80"/>
  <c r="Q135" i="80" s="1"/>
  <c r="Q149" i="80" s="1"/>
  <c r="Q175" i="80" s="1"/>
  <c r="Q276" i="80" s="1"/>
  <c r="N112" i="83"/>
  <c r="N217" i="83" s="1"/>
  <c r="N89" i="71" s="1"/>
  <c r="N194" i="71" s="1"/>
  <c r="Q71" i="80"/>
  <c r="Q83" i="80" s="1"/>
  <c r="N106" i="83"/>
  <c r="N211" i="83" s="1"/>
  <c r="N83" i="71" s="1"/>
  <c r="N188" i="71" s="1"/>
  <c r="Q74" i="80"/>
  <c r="Q86" i="80" s="1"/>
  <c r="Q146" i="80" s="1"/>
  <c r="Q172" i="80" s="1"/>
  <c r="Q273" i="80" s="1"/>
  <c r="Q101" i="83"/>
  <c r="Q189" i="83" s="1"/>
  <c r="Q60" i="71" s="1"/>
  <c r="Q165" i="71" s="1"/>
  <c r="N105" i="83"/>
  <c r="N210" i="83" s="1"/>
  <c r="N82" i="71" s="1"/>
  <c r="N187" i="71" s="1"/>
  <c r="Q101" i="80"/>
  <c r="Q113" i="80" s="1"/>
  <c r="N100" i="80"/>
  <c r="N112" i="80" s="1"/>
  <c r="Q108" i="83"/>
  <c r="Q213" i="83" s="1"/>
  <c r="Q85" i="71" s="1"/>
  <c r="Q190" i="71" s="1"/>
  <c r="N118" i="80"/>
  <c r="N130" i="80" s="1"/>
  <c r="N144" i="80" s="1"/>
  <c r="Q98" i="80"/>
  <c r="Q110" i="80" s="1"/>
  <c r="Q147" i="80" s="1"/>
  <c r="Q173" i="80" s="1"/>
  <c r="Q274" i="80" s="1"/>
  <c r="N84" i="83"/>
  <c r="N155" i="83" s="1"/>
  <c r="N25" i="71" s="1"/>
  <c r="N130" i="71" s="1"/>
  <c r="N99" i="80"/>
  <c r="N111" i="80" s="1"/>
  <c r="N148" i="80" s="1"/>
  <c r="Q72" i="80"/>
  <c r="Q84" i="80" s="1"/>
  <c r="Q144" i="80" s="1"/>
  <c r="Q170" i="80" s="1"/>
  <c r="Q271" i="80" s="1"/>
  <c r="Q124" i="80"/>
  <c r="Q136" i="80" s="1"/>
  <c r="Q150" i="80" s="1"/>
  <c r="Q208" i="80" s="1"/>
  <c r="N98" i="83"/>
  <c r="N186" i="83" s="1"/>
  <c r="N57" i="71" s="1"/>
  <c r="N162" i="71" s="1"/>
  <c r="N111" i="83"/>
  <c r="N216" i="83" s="1"/>
  <c r="N88" i="71" s="1"/>
  <c r="N193" i="71" s="1"/>
  <c r="Q106" i="83"/>
  <c r="Q211" i="83" s="1"/>
  <c r="Q83" i="71" s="1"/>
  <c r="Q188" i="71" s="1"/>
  <c r="N83" i="83"/>
  <c r="N154" i="83" s="1"/>
  <c r="N24" i="71" s="1"/>
  <c r="N129" i="71" s="1"/>
  <c r="Q96" i="80"/>
  <c r="Q108" i="80" s="1"/>
  <c r="N94" i="83"/>
  <c r="N182" i="83" s="1"/>
  <c r="N53" i="71" s="1"/>
  <c r="N158" i="71" s="1"/>
  <c r="N93" i="80"/>
  <c r="N105" i="80" s="1"/>
  <c r="N89" i="83"/>
  <c r="N160" i="83" s="1"/>
  <c r="N30" i="71" s="1"/>
  <c r="N135" i="71" s="1"/>
  <c r="Q116" i="80"/>
  <c r="Q128" i="80" s="1"/>
  <c r="H306" i="53" a="1"/>
  <c r="H306" i="53" s="1"/>
  <c r="J42" i="55" s="1"/>
  <c r="N120" i="80"/>
  <c r="N132" i="80" s="1"/>
  <c r="N146" i="80" s="1"/>
  <c r="N143" i="80"/>
  <c r="N169" i="80" s="1"/>
  <c r="N270" i="80" s="1"/>
  <c r="N150" i="80"/>
  <c r="N22" i="71"/>
  <c r="N149" i="80" l="1"/>
  <c r="N175" i="80" s="1"/>
  <c r="N276" i="80" s="1"/>
  <c r="H276" i="80" s="1"/>
  <c r="Q145" i="80"/>
  <c r="Q171" i="80" s="1"/>
  <c r="Q272" i="80" s="1"/>
  <c r="Q143" i="80"/>
  <c r="Q169" i="80" s="1"/>
  <c r="Q270" i="80" s="1"/>
  <c r="H270" i="80" s="1"/>
  <c r="N145" i="80"/>
  <c r="N171" i="80" s="1"/>
  <c r="N272" i="80" s="1"/>
  <c r="Q142" i="80"/>
  <c r="Q168" i="80" s="1"/>
  <c r="Q269" i="80" s="1"/>
  <c r="N142" i="80"/>
  <c r="A4" i="53"/>
  <c r="Q176" i="80"/>
  <c r="H158" i="80"/>
  <c r="N172" i="80"/>
  <c r="N273" i="80" s="1"/>
  <c r="H273" i="80" s="1"/>
  <c r="H162" i="80"/>
  <c r="N208" i="80"/>
  <c r="H210" i="80" s="1"/>
  <c r="H234" i="80" s="1"/>
  <c r="N176" i="80"/>
  <c r="N170" i="80"/>
  <c r="N271" i="80" s="1"/>
  <c r="H271" i="80" s="1"/>
  <c r="H156" i="80"/>
  <c r="H160" i="80"/>
  <c r="N174" i="80"/>
  <c r="N275" i="80" s="1"/>
  <c r="H275" i="80" s="1"/>
  <c r="N173" i="80"/>
  <c r="N274" i="80" s="1"/>
  <c r="H274" i="80" s="1"/>
  <c r="H159" i="80"/>
  <c r="N127" i="71"/>
  <c r="H161" i="80" l="1"/>
  <c r="P260" i="80"/>
  <c r="O260" i="80"/>
  <c r="N260" i="80"/>
  <c r="H272" i="80"/>
  <c r="H155" i="80"/>
  <c r="H154" i="80"/>
  <c r="N168" i="80"/>
  <c r="N177" i="80" s="1"/>
  <c r="H157" i="80"/>
  <c r="Q177" i="80"/>
  <c r="R260" i="80"/>
  <c r="S260" i="80"/>
  <c r="Q260" i="80"/>
  <c r="W247" i="80"/>
  <c r="L247" i="80"/>
  <c r="T247" i="80"/>
  <c r="S247" i="80"/>
  <c r="Z247" i="80"/>
  <c r="P247" i="80"/>
  <c r="T260" i="80"/>
  <c r="U260" i="80"/>
  <c r="Z260" i="80"/>
  <c r="K247" i="80"/>
  <c r="K277" i="80" s="1"/>
  <c r="W260" i="80"/>
  <c r="X247" i="80"/>
  <c r="J260" i="80"/>
  <c r="L260" i="80"/>
  <c r="M247" i="80"/>
  <c r="M277" i="80" s="1"/>
  <c r="Y260" i="80"/>
  <c r="AA260" i="80"/>
  <c r="AB260" i="80"/>
  <c r="V247" i="80"/>
  <c r="R247" i="80"/>
  <c r="U247" i="80"/>
  <c r="J247" i="80"/>
  <c r="AB247" i="80"/>
  <c r="Y247" i="80"/>
  <c r="V260" i="80"/>
  <c r="H32" i="73"/>
  <c r="AA247" i="80"/>
  <c r="O247" i="80"/>
  <c r="X260" i="80"/>
  <c r="N247" i="80"/>
  <c r="Q247" i="80"/>
  <c r="P277" i="80" l="1"/>
  <c r="N277" i="80"/>
  <c r="O277" i="80"/>
  <c r="N269" i="80"/>
  <c r="H269" i="80" s="1"/>
  <c r="J51" i="82" a="1"/>
  <c r="M51" i="82" s="1"/>
  <c r="Q277" i="80"/>
  <c r="R277" i="80"/>
  <c r="S277" i="80"/>
  <c r="Y277" i="80"/>
  <c r="J277" i="80"/>
  <c r="U277" i="80"/>
  <c r="W277" i="80"/>
  <c r="L277" i="80"/>
  <c r="J141" i="73"/>
  <c r="P171" i="73"/>
  <c r="P231" i="73" s="1"/>
  <c r="M171" i="73"/>
  <c r="M231" i="73" s="1"/>
  <c r="N171" i="73"/>
  <c r="N231" i="73" s="1"/>
  <c r="T171" i="73"/>
  <c r="T231" i="73" s="1"/>
  <c r="Q171" i="73"/>
  <c r="Q231" i="73" s="1"/>
  <c r="O171" i="73"/>
  <c r="O231" i="73" s="1"/>
  <c r="R171" i="73"/>
  <c r="R231" i="73" s="1"/>
  <c r="S171" i="73"/>
  <c r="S231" i="73" s="1"/>
  <c r="L171" i="73"/>
  <c r="L231" i="73" s="1"/>
  <c r="J171" i="73"/>
  <c r="J231" i="73" s="1"/>
  <c r="K171" i="73"/>
  <c r="K231" i="73" s="1"/>
  <c r="P141" i="73"/>
  <c r="T141" i="73"/>
  <c r="N141" i="73"/>
  <c r="K141" i="73"/>
  <c r="S141" i="73"/>
  <c r="R141" i="73"/>
  <c r="Q141" i="73"/>
  <c r="L141" i="73"/>
  <c r="M141" i="73"/>
  <c r="O141" i="73"/>
  <c r="Z277" i="80"/>
  <c r="X277" i="80"/>
  <c r="AA277" i="80"/>
  <c r="AB277" i="80"/>
  <c r="V277" i="80"/>
  <c r="T277" i="80"/>
  <c r="N51" i="82" l="1"/>
  <c r="O51" i="82"/>
  <c r="J51" i="82"/>
  <c r="K51" i="82"/>
  <c r="L51" i="82"/>
  <c r="H277" i="80"/>
  <c r="K64" i="81" s="1" a="1"/>
  <c r="H281" i="80" a="1"/>
  <c r="H281" i="80" s="1"/>
  <c r="M201" i="73"/>
  <c r="M271" i="73"/>
  <c r="M34" i="74" s="1"/>
  <c r="M79" i="74" s="1"/>
  <c r="P201" i="73"/>
  <c r="P271" i="73"/>
  <c r="P34" i="74" s="1"/>
  <c r="P79" i="74" s="1"/>
  <c r="J271" i="73"/>
  <c r="J34" i="74" s="1"/>
  <c r="J201" i="73"/>
  <c r="L201" i="73"/>
  <c r="L271" i="73"/>
  <c r="L34" i="74" s="1"/>
  <c r="L79" i="74" s="1"/>
  <c r="K201" i="73"/>
  <c r="K271" i="73"/>
  <c r="K34" i="74" s="1"/>
  <c r="K79" i="74" s="1"/>
  <c r="Q201" i="73"/>
  <c r="Q271" i="73"/>
  <c r="Q34" i="74" s="1"/>
  <c r="Q79" i="74" s="1"/>
  <c r="N201" i="73"/>
  <c r="N271" i="73"/>
  <c r="N34" i="74" s="1"/>
  <c r="N79" i="74" s="1"/>
  <c r="S201" i="73"/>
  <c r="S271" i="73"/>
  <c r="S34" i="74" s="1"/>
  <c r="S79" i="74" s="1"/>
  <c r="O201" i="73"/>
  <c r="O271" i="73"/>
  <c r="O34" i="74" s="1"/>
  <c r="O79" i="74" s="1"/>
  <c r="R201" i="73"/>
  <c r="R271" i="73"/>
  <c r="R34" i="74" s="1"/>
  <c r="R79" i="74" s="1"/>
  <c r="T201" i="73"/>
  <c r="T271" i="73"/>
  <c r="T34" i="74" s="1"/>
  <c r="T79" i="74" s="1"/>
  <c r="AB109" i="74" l="1"/>
  <c r="AB141" i="74" s="1"/>
  <c r="Q109" i="74"/>
  <c r="Q141" i="74" s="1"/>
  <c r="Y109" i="74"/>
  <c r="Y141" i="74" s="1"/>
  <c r="X109" i="74"/>
  <c r="X141" i="74" s="1"/>
  <c r="N109" i="74"/>
  <c r="N141" i="74" s="1"/>
  <c r="O109" i="74"/>
  <c r="O141" i="74" s="1"/>
  <c r="M109" i="74"/>
  <c r="M141" i="74" s="1"/>
  <c r="P109" i="74"/>
  <c r="P141" i="74" s="1"/>
  <c r="Z109" i="74"/>
  <c r="Z141" i="74" s="1"/>
  <c r="V109" i="74"/>
  <c r="V141" i="74" s="1"/>
  <c r="K109" i="74"/>
  <c r="K141" i="74" s="1"/>
  <c r="W109" i="74"/>
  <c r="W141" i="74" s="1"/>
  <c r="S109" i="74"/>
  <c r="S141" i="74" s="1"/>
  <c r="T109" i="74"/>
  <c r="T141" i="74" s="1"/>
  <c r="R109" i="74"/>
  <c r="R141" i="74" s="1"/>
  <c r="U109" i="74"/>
  <c r="U141" i="74" s="1"/>
  <c r="AA109" i="74"/>
  <c r="AA141" i="74" s="1"/>
  <c r="J79" i="74"/>
  <c r="O64" i="81"/>
  <c r="O67" i="81" s="1"/>
  <c r="M64" i="81"/>
  <c r="M67" i="81" s="1"/>
  <c r="S64" i="81"/>
  <c r="S67" i="81" s="1"/>
  <c r="N64" i="81"/>
  <c r="N67" i="81" s="1"/>
  <c r="R64" i="81"/>
  <c r="R67" i="81" s="1"/>
  <c r="L64" i="81"/>
  <c r="L67" i="81" s="1"/>
  <c r="K64" i="81"/>
  <c r="P64" i="81"/>
  <c r="P67" i="81" s="1"/>
  <c r="Q64" i="81"/>
  <c r="Q67" i="81" s="1"/>
  <c r="J43" i="55"/>
  <c r="A4" i="80"/>
  <c r="M73" i="81" l="1"/>
  <c r="M76" i="81" s="1"/>
  <c r="O73" i="81"/>
  <c r="O76" i="81" s="1"/>
  <c r="L73" i="81"/>
  <c r="L76" i="81" s="1"/>
  <c r="Q73" i="81"/>
  <c r="Q76" i="81" s="1"/>
  <c r="R73" i="81"/>
  <c r="R76" i="81" s="1"/>
  <c r="J109" i="74"/>
  <c r="J141" i="74" s="1"/>
  <c r="L109" i="74"/>
  <c r="L141" i="74" s="1"/>
  <c r="P73" i="81"/>
  <c r="P76" i="81" s="1"/>
  <c r="P100" i="81"/>
  <c r="P115" i="81" s="1"/>
  <c r="N73" i="81"/>
  <c r="N76" i="81" s="1"/>
  <c r="K67" i="81"/>
  <c r="J65" i="81"/>
  <c r="J67" i="81" s="1"/>
  <c r="J100" i="81" s="1"/>
  <c r="J115" i="81" s="1"/>
  <c r="S73" i="81"/>
  <c r="S76" i="81" s="1"/>
  <c r="Q108" i="81" l="1"/>
  <c r="P52" i="82" s="1"/>
  <c r="Q78" i="81"/>
  <c r="Q97" i="81" s="1"/>
  <c r="Q100" i="81" s="1"/>
  <c r="Q115" i="81" s="1"/>
  <c r="O108" i="81"/>
  <c r="N52" i="82" s="1"/>
  <c r="O78" i="81"/>
  <c r="O97" i="81" s="1"/>
  <c r="O100" i="81" s="1"/>
  <c r="O115" i="81" s="1"/>
  <c r="N108" i="81"/>
  <c r="M52" i="82" s="1"/>
  <c r="N78" i="81"/>
  <c r="N97" i="81" s="1"/>
  <c r="N100" i="81" s="1"/>
  <c r="N115" i="81" s="1"/>
  <c r="K78" i="81"/>
  <c r="K97" i="81" s="1"/>
  <c r="K100" i="81" s="1"/>
  <c r="L108" i="81"/>
  <c r="L78" i="81"/>
  <c r="L97" i="81" s="1"/>
  <c r="L100" i="81" s="1"/>
  <c r="L115" i="81" s="1"/>
  <c r="H123" i="81"/>
  <c r="H21" i="76" s="1"/>
  <c r="U78" i="81"/>
  <c r="U97" i="81" s="1"/>
  <c r="T78" i="81"/>
  <c r="T97" i="81" s="1"/>
  <c r="S78" i="81"/>
  <c r="S97" i="81" s="1"/>
  <c r="S100" i="81" s="1"/>
  <c r="S115" i="81" s="1"/>
  <c r="S108" i="81"/>
  <c r="R52" i="82" s="1"/>
  <c r="R78" i="81"/>
  <c r="R97" i="81" s="1"/>
  <c r="R100" i="81" s="1"/>
  <c r="R115" i="81" s="1"/>
  <c r="R108" i="81"/>
  <c r="Q52" i="82" s="1"/>
  <c r="P78" i="81"/>
  <c r="P97" i="81" s="1"/>
  <c r="P108" i="81"/>
  <c r="O52" i="82" s="1"/>
  <c r="M108" i="81"/>
  <c r="L52" i="82" s="1"/>
  <c r="M78" i="81"/>
  <c r="M97" i="81" s="1"/>
  <c r="M100" i="81" s="1"/>
  <c r="M115" i="81" s="1"/>
  <c r="K115" i="81" l="1"/>
  <c r="H127" i="81" a="1"/>
  <c r="H127" i="81" s="1"/>
  <c r="H131" i="81" s="1"/>
  <c r="H19" i="82" a="1"/>
  <c r="K52" i="82"/>
  <c r="H35" i="76"/>
  <c r="K43" i="76" l="1"/>
  <c r="K56" i="74" s="1"/>
  <c r="K157" i="74" s="1"/>
  <c r="U43" i="76"/>
  <c r="U56" i="74" s="1"/>
  <c r="U157" i="74" s="1"/>
  <c r="N43" i="76"/>
  <c r="N56" i="74" s="1"/>
  <c r="N157" i="74" s="1"/>
  <c r="O42" i="76"/>
  <c r="O55" i="74" s="1"/>
  <c r="O156" i="74" s="1"/>
  <c r="K42" i="76"/>
  <c r="K55" i="74" s="1"/>
  <c r="K156" i="74" s="1"/>
  <c r="AA43" i="76"/>
  <c r="AA56" i="74" s="1"/>
  <c r="AA157" i="74" s="1"/>
  <c r="Y42" i="76"/>
  <c r="Y55" i="74" s="1"/>
  <c r="Y156" i="74" s="1"/>
  <c r="X42" i="76"/>
  <c r="X55" i="74" s="1"/>
  <c r="X156" i="74" s="1"/>
  <c r="Q43" i="76"/>
  <c r="Q56" i="74" s="1"/>
  <c r="Q157" i="74" s="1"/>
  <c r="J42" i="76"/>
  <c r="Y43" i="76"/>
  <c r="Y56" i="74" s="1"/>
  <c r="Y157" i="74" s="1"/>
  <c r="U42" i="76"/>
  <c r="U55" i="74" s="1"/>
  <c r="U156" i="74" s="1"/>
  <c r="M43" i="76"/>
  <c r="M56" i="74" s="1"/>
  <c r="M157" i="74" s="1"/>
  <c r="Z43" i="76"/>
  <c r="Z56" i="74" s="1"/>
  <c r="Z157" i="74" s="1"/>
  <c r="W42" i="76"/>
  <c r="W55" i="74" s="1"/>
  <c r="W156" i="74" s="1"/>
  <c r="AB43" i="76"/>
  <c r="AB56" i="74" s="1"/>
  <c r="AB157" i="74" s="1"/>
  <c r="T44" i="76"/>
  <c r="R42" i="76"/>
  <c r="R55" i="74" s="1"/>
  <c r="R156" i="74" s="1"/>
  <c r="N42" i="76"/>
  <c r="N55" i="74" s="1"/>
  <c r="N156" i="74" s="1"/>
  <c r="L43" i="76"/>
  <c r="L56" i="74" s="1"/>
  <c r="L157" i="74" s="1"/>
  <c r="L42" i="76"/>
  <c r="L55" i="74" s="1"/>
  <c r="L156" i="74" s="1"/>
  <c r="P42" i="76"/>
  <c r="P55" i="74" s="1"/>
  <c r="P156" i="74" s="1"/>
  <c r="V43" i="76"/>
  <c r="V56" i="74" s="1"/>
  <c r="V157" i="74" s="1"/>
  <c r="W43" i="76"/>
  <c r="W56" i="74" s="1"/>
  <c r="W157" i="74" s="1"/>
  <c r="AA42" i="76"/>
  <c r="AA55" i="74" s="1"/>
  <c r="AA156" i="74" s="1"/>
  <c r="T43" i="76"/>
  <c r="R43" i="76"/>
  <c r="R56" i="74" s="1"/>
  <c r="R157" i="74" s="1"/>
  <c r="T42" i="76"/>
  <c r="S43" i="76"/>
  <c r="S56" i="74" s="1"/>
  <c r="S157" i="74" s="1"/>
  <c r="X43" i="76"/>
  <c r="X56" i="74" s="1"/>
  <c r="X157" i="74" s="1"/>
  <c r="AB42" i="76"/>
  <c r="AB55" i="74" s="1"/>
  <c r="AB156" i="74" s="1"/>
  <c r="M42" i="76"/>
  <c r="M55" i="74" s="1"/>
  <c r="M156" i="74" s="1"/>
  <c r="J43" i="76"/>
  <c r="J56" i="74" s="1"/>
  <c r="J157" i="74" s="1"/>
  <c r="O43" i="76"/>
  <c r="O56" i="74" s="1"/>
  <c r="O157" i="74" s="1"/>
  <c r="Z42" i="76"/>
  <c r="Z55" i="74" s="1"/>
  <c r="Z156" i="74" s="1"/>
  <c r="P43" i="76"/>
  <c r="P56" i="74" s="1"/>
  <c r="P157" i="74" s="1"/>
  <c r="V42" i="76"/>
  <c r="V55" i="74" s="1"/>
  <c r="V156" i="74" s="1"/>
  <c r="Q42" i="76"/>
  <c r="Q55" i="74" s="1"/>
  <c r="Q156" i="74" s="1"/>
  <c r="S42" i="76"/>
  <c r="S55" i="74" s="1"/>
  <c r="S156" i="74" s="1"/>
  <c r="H22" i="82"/>
  <c r="H23" i="82"/>
  <c r="H19" i="82"/>
  <c r="H20" i="82"/>
  <c r="H21" i="82"/>
  <c r="A4" i="81"/>
  <c r="J45" i="55"/>
  <c r="H63" i="72" a="1"/>
  <c r="H65" i="73" a="1"/>
  <c r="H30" i="83" a="1"/>
  <c r="H35" i="83" l="1"/>
  <c r="H37" i="83"/>
  <c r="H30" i="83"/>
  <c r="H32" i="83"/>
  <c r="H36" i="83"/>
  <c r="H31" i="83"/>
  <c r="H38" i="83"/>
  <c r="H33" i="83"/>
  <c r="H34" i="83"/>
  <c r="H39" i="83"/>
  <c r="H74" i="73"/>
  <c r="H68" i="73"/>
  <c r="H72" i="73"/>
  <c r="H65" i="73"/>
  <c r="H67" i="73"/>
  <c r="H73" i="73"/>
  <c r="H66" i="73"/>
  <c r="H70" i="73"/>
  <c r="H71" i="73"/>
  <c r="H69" i="73"/>
  <c r="H69" i="72"/>
  <c r="H66" i="72"/>
  <c r="H63" i="72"/>
  <c r="H72" i="72"/>
  <c r="H65" i="72"/>
  <c r="H71" i="72"/>
  <c r="H68" i="72"/>
  <c r="H70" i="72"/>
  <c r="H64" i="72"/>
  <c r="H67" i="72"/>
  <c r="J55" i="74"/>
  <c r="J156" i="74" s="1"/>
  <c r="H48" i="76" a="1"/>
  <c r="H48" i="76" s="1"/>
  <c r="T76" i="71"/>
  <c r="T181" i="71" s="1"/>
  <c r="T46" i="71"/>
  <c r="T151" i="71" s="1"/>
  <c r="T106" i="71"/>
  <c r="T211" i="71" s="1"/>
  <c r="J47" i="55" l="1"/>
  <c r="A4" i="76"/>
  <c r="AA179" i="72"/>
  <c r="AA214" i="72" s="1"/>
  <c r="AA244" i="72" s="1"/>
  <c r="U179" i="72"/>
  <c r="U214" i="72" s="1"/>
  <c r="U244" i="72" s="1"/>
  <c r="W179" i="72"/>
  <c r="W214" i="72" s="1"/>
  <c r="W244" i="72" s="1"/>
  <c r="Y179" i="72"/>
  <c r="Y214" i="72" s="1"/>
  <c r="Y244" i="72" s="1"/>
  <c r="X179" i="72"/>
  <c r="X214" i="72" s="1"/>
  <c r="X244" i="72" s="1"/>
  <c r="V179" i="72"/>
  <c r="V214" i="72" s="1"/>
  <c r="V244" i="72" s="1"/>
  <c r="AB179" i="72"/>
  <c r="AB214" i="72" s="1"/>
  <c r="AB244" i="72" s="1"/>
  <c r="Z179" i="72"/>
  <c r="Z214" i="72" s="1"/>
  <c r="Z244" i="72" s="1"/>
  <c r="X181" i="72"/>
  <c r="X216" i="72" s="1"/>
  <c r="X246" i="72" s="1"/>
  <c r="W181" i="72"/>
  <c r="W216" i="72" s="1"/>
  <c r="W246" i="72" s="1"/>
  <c r="AA181" i="72"/>
  <c r="AA216" i="72" s="1"/>
  <c r="AA246" i="72" s="1"/>
  <c r="AB181" i="72"/>
  <c r="AB216" i="72" s="1"/>
  <c r="AB246" i="72" s="1"/>
  <c r="V181" i="72"/>
  <c r="V216" i="72" s="1"/>
  <c r="V246" i="72" s="1"/>
  <c r="Y181" i="72"/>
  <c r="Y216" i="72" s="1"/>
  <c r="Y246" i="72" s="1"/>
  <c r="Z181" i="72"/>
  <c r="Z216" i="72" s="1"/>
  <c r="Z246" i="72" s="1"/>
  <c r="U181" i="72"/>
  <c r="U216" i="72" s="1"/>
  <c r="U246" i="72" s="1"/>
  <c r="K152" i="73"/>
  <c r="T152" i="73"/>
  <c r="L152" i="73"/>
  <c r="M152" i="73"/>
  <c r="O152" i="73"/>
  <c r="Q152" i="73"/>
  <c r="R152" i="73"/>
  <c r="N152" i="73"/>
  <c r="J152" i="73"/>
  <c r="S152" i="73"/>
  <c r="L182" i="73"/>
  <c r="L242" i="73" s="1"/>
  <c r="N182" i="73"/>
  <c r="N242" i="73" s="1"/>
  <c r="T182" i="73"/>
  <c r="T242" i="73" s="1"/>
  <c r="O182" i="73"/>
  <c r="O242" i="73" s="1"/>
  <c r="S182" i="73"/>
  <c r="S242" i="73" s="1"/>
  <c r="Q182" i="73"/>
  <c r="Q242" i="73" s="1"/>
  <c r="P152" i="73"/>
  <c r="M182" i="73"/>
  <c r="M242" i="73" s="1"/>
  <c r="P182" i="73"/>
  <c r="P242" i="73" s="1"/>
  <c r="K182" i="73"/>
  <c r="K242" i="73" s="1"/>
  <c r="J182" i="73"/>
  <c r="J242" i="73" s="1"/>
  <c r="R182" i="73"/>
  <c r="R242" i="73" s="1"/>
  <c r="L148" i="73"/>
  <c r="N148" i="73"/>
  <c r="K148" i="73"/>
  <c r="S148" i="73"/>
  <c r="Q148" i="73"/>
  <c r="O148" i="73"/>
  <c r="M148" i="73"/>
  <c r="P148" i="73"/>
  <c r="T148" i="73"/>
  <c r="R148" i="73"/>
  <c r="L178" i="73"/>
  <c r="L238" i="73" s="1"/>
  <c r="S178" i="73"/>
  <c r="S238" i="73" s="1"/>
  <c r="K178" i="73"/>
  <c r="K238" i="73" s="1"/>
  <c r="P178" i="73"/>
  <c r="P238" i="73" s="1"/>
  <c r="O178" i="73"/>
  <c r="O238" i="73" s="1"/>
  <c r="R178" i="73"/>
  <c r="R238" i="73" s="1"/>
  <c r="J148" i="73"/>
  <c r="J178" i="73"/>
  <c r="J238" i="73" s="1"/>
  <c r="T178" i="73"/>
  <c r="T238" i="73" s="1"/>
  <c r="Q178" i="73"/>
  <c r="Q238" i="73" s="1"/>
  <c r="N178" i="73"/>
  <c r="N238" i="73" s="1"/>
  <c r="M178" i="73"/>
  <c r="M238" i="73" s="1"/>
  <c r="N155" i="73"/>
  <c r="O155" i="73"/>
  <c r="P155" i="73"/>
  <c r="T155" i="73"/>
  <c r="R155" i="73"/>
  <c r="M155" i="73"/>
  <c r="S155" i="73"/>
  <c r="K155" i="73"/>
  <c r="L155" i="73"/>
  <c r="Q155" i="73"/>
  <c r="P185" i="73"/>
  <c r="P245" i="73" s="1"/>
  <c r="L185" i="73"/>
  <c r="L245" i="73" s="1"/>
  <c r="T185" i="73"/>
  <c r="T245" i="73" s="1"/>
  <c r="O185" i="73"/>
  <c r="O245" i="73" s="1"/>
  <c r="R185" i="73"/>
  <c r="R245" i="73" s="1"/>
  <c r="J155" i="73"/>
  <c r="M185" i="73"/>
  <c r="M245" i="73" s="1"/>
  <c r="N185" i="73"/>
  <c r="N245" i="73" s="1"/>
  <c r="J185" i="73"/>
  <c r="J245" i="73" s="1"/>
  <c r="K185" i="73"/>
  <c r="K245" i="73" s="1"/>
  <c r="S185" i="73"/>
  <c r="S245" i="73" s="1"/>
  <c r="Q185" i="73"/>
  <c r="Q245" i="73" s="1"/>
  <c r="T201" i="83"/>
  <c r="T74" i="71" s="1"/>
  <c r="T179" i="71" s="1"/>
  <c r="V201" i="83"/>
  <c r="V74" i="71" s="1"/>
  <c r="V179" i="71" s="1"/>
  <c r="L143" i="83"/>
  <c r="L145" i="72" s="1"/>
  <c r="L215" i="72" s="1"/>
  <c r="L245" i="72" s="1"/>
  <c r="K172" i="83"/>
  <c r="K44" i="71" s="1"/>
  <c r="K149" i="71" s="1"/>
  <c r="P143" i="83"/>
  <c r="P145" i="72" s="1"/>
  <c r="P215" i="72" s="1"/>
  <c r="P245" i="72" s="1"/>
  <c r="L172" i="83"/>
  <c r="L44" i="71" s="1"/>
  <c r="L149" i="71" s="1"/>
  <c r="P172" i="83"/>
  <c r="P44" i="71" s="1"/>
  <c r="P149" i="71" s="1"/>
  <c r="M143" i="83"/>
  <c r="M145" i="72" s="1"/>
  <c r="M215" i="72" s="1"/>
  <c r="M245" i="72" s="1"/>
  <c r="U172" i="83"/>
  <c r="U44" i="71" s="1"/>
  <c r="U149" i="71" s="1"/>
  <c r="O201" i="83"/>
  <c r="O74" i="71" s="1"/>
  <c r="O179" i="71" s="1"/>
  <c r="V143" i="83"/>
  <c r="Y143" i="83"/>
  <c r="AB201" i="83"/>
  <c r="AB74" i="71" s="1"/>
  <c r="AB179" i="71" s="1"/>
  <c r="K230" i="83"/>
  <c r="K104" i="71" s="1"/>
  <c r="K209" i="71" s="1"/>
  <c r="J172" i="83"/>
  <c r="J44" i="71" s="1"/>
  <c r="J149" i="71" s="1"/>
  <c r="Z143" i="83"/>
  <c r="Y201" i="83"/>
  <c r="Y74" i="71" s="1"/>
  <c r="Y179" i="71" s="1"/>
  <c r="L230" i="83"/>
  <c r="L104" i="71" s="1"/>
  <c r="L209" i="71" s="1"/>
  <c r="O143" i="83"/>
  <c r="O145" i="72" s="1"/>
  <c r="O215" i="72" s="1"/>
  <c r="O245" i="72" s="1"/>
  <c r="U201" i="83"/>
  <c r="U74" i="71" s="1"/>
  <c r="U179" i="71" s="1"/>
  <c r="P230" i="83"/>
  <c r="P104" i="71" s="1"/>
  <c r="P209" i="71" s="1"/>
  <c r="W172" i="83"/>
  <c r="W44" i="71" s="1"/>
  <c r="W149" i="71" s="1"/>
  <c r="M172" i="83"/>
  <c r="M44" i="71" s="1"/>
  <c r="M149" i="71" s="1"/>
  <c r="J143" i="83"/>
  <c r="J145" i="72" s="1"/>
  <c r="J215" i="72" s="1"/>
  <c r="J245" i="72" s="1"/>
  <c r="V172" i="83"/>
  <c r="V44" i="71" s="1"/>
  <c r="V149" i="71" s="1"/>
  <c r="N143" i="83"/>
  <c r="N145" i="72" s="1"/>
  <c r="N215" i="72" s="1"/>
  <c r="N245" i="72" s="1"/>
  <c r="U143" i="83"/>
  <c r="T143" i="83"/>
  <c r="T145" i="72" s="1"/>
  <c r="T215" i="72" s="1"/>
  <c r="T245" i="72" s="1"/>
  <c r="P201" i="83"/>
  <c r="P74" i="71" s="1"/>
  <c r="P179" i="71" s="1"/>
  <c r="W201" i="83"/>
  <c r="W74" i="71" s="1"/>
  <c r="W179" i="71" s="1"/>
  <c r="AB172" i="83"/>
  <c r="AB44" i="71" s="1"/>
  <c r="AB149" i="71" s="1"/>
  <c r="AA201" i="83"/>
  <c r="AA74" i="71" s="1"/>
  <c r="AA179" i="71" s="1"/>
  <c r="Q143" i="83"/>
  <c r="Q145" i="72" s="1"/>
  <c r="Q215" i="72" s="1"/>
  <c r="Q245" i="72" s="1"/>
  <c r="Q201" i="83"/>
  <c r="Q74" i="71" s="1"/>
  <c r="Q179" i="71" s="1"/>
  <c r="R201" i="83"/>
  <c r="R74" i="71" s="1"/>
  <c r="R179" i="71" s="1"/>
  <c r="AA230" i="83"/>
  <c r="AA104" i="71" s="1"/>
  <c r="AA209" i="71" s="1"/>
  <c r="Z172" i="83"/>
  <c r="Z44" i="71" s="1"/>
  <c r="Z149" i="71" s="1"/>
  <c r="J230" i="83"/>
  <c r="J104" i="71" s="1"/>
  <c r="J209" i="71" s="1"/>
  <c r="Y230" i="83"/>
  <c r="Y104" i="71" s="1"/>
  <c r="Y209" i="71" s="1"/>
  <c r="O230" i="83"/>
  <c r="O104" i="71" s="1"/>
  <c r="O209" i="71" s="1"/>
  <c r="N230" i="83"/>
  <c r="N104" i="71" s="1"/>
  <c r="N209" i="71" s="1"/>
  <c r="Z230" i="83"/>
  <c r="Z104" i="71" s="1"/>
  <c r="Z209" i="71" s="1"/>
  <c r="X172" i="83"/>
  <c r="X44" i="71" s="1"/>
  <c r="X149" i="71" s="1"/>
  <c r="X201" i="83"/>
  <c r="X74" i="71" s="1"/>
  <c r="X179" i="71" s="1"/>
  <c r="K143" i="83"/>
  <c r="K145" i="72" s="1"/>
  <c r="K215" i="72" s="1"/>
  <c r="K245" i="72" s="1"/>
  <c r="T172" i="83"/>
  <c r="T44" i="71" s="1"/>
  <c r="T149" i="71" s="1"/>
  <c r="R230" i="83"/>
  <c r="R104" i="71" s="1"/>
  <c r="R209" i="71" s="1"/>
  <c r="R172" i="83"/>
  <c r="R44" i="71" s="1"/>
  <c r="R149" i="71" s="1"/>
  <c r="W143" i="83"/>
  <c r="N201" i="83"/>
  <c r="N74" i="71" s="1"/>
  <c r="N179" i="71" s="1"/>
  <c r="N172" i="83"/>
  <c r="N44" i="71" s="1"/>
  <c r="N149" i="71" s="1"/>
  <c r="K201" i="83"/>
  <c r="K74" i="71" s="1"/>
  <c r="K179" i="71" s="1"/>
  <c r="X230" i="83"/>
  <c r="X104" i="71" s="1"/>
  <c r="X209" i="71" s="1"/>
  <c r="O172" i="83"/>
  <c r="O44" i="71" s="1"/>
  <c r="O149" i="71" s="1"/>
  <c r="L201" i="83"/>
  <c r="L74" i="71" s="1"/>
  <c r="L179" i="71" s="1"/>
  <c r="Y172" i="83"/>
  <c r="Y44" i="71" s="1"/>
  <c r="Y149" i="71" s="1"/>
  <c r="AA143" i="83"/>
  <c r="Z201" i="83"/>
  <c r="Z74" i="71" s="1"/>
  <c r="Z179" i="71" s="1"/>
  <c r="M230" i="83"/>
  <c r="M104" i="71" s="1"/>
  <c r="M209" i="71" s="1"/>
  <c r="W230" i="83"/>
  <c r="W104" i="71" s="1"/>
  <c r="W209" i="71" s="1"/>
  <c r="S201" i="83"/>
  <c r="S74" i="71" s="1"/>
  <c r="S179" i="71" s="1"/>
  <c r="S172" i="83"/>
  <c r="S44" i="71" s="1"/>
  <c r="S149" i="71" s="1"/>
  <c r="S143" i="83"/>
  <c r="S145" i="72" s="1"/>
  <c r="S215" i="72" s="1"/>
  <c r="S245" i="72" s="1"/>
  <c r="R143" i="83"/>
  <c r="R145" i="72" s="1"/>
  <c r="R215" i="72" s="1"/>
  <c r="R245" i="72" s="1"/>
  <c r="T230" i="83"/>
  <c r="T104" i="71" s="1"/>
  <c r="T209" i="71" s="1"/>
  <c r="V230" i="83"/>
  <c r="V104" i="71" s="1"/>
  <c r="V209" i="71" s="1"/>
  <c r="U230" i="83"/>
  <c r="U104" i="71" s="1"/>
  <c r="U209" i="71" s="1"/>
  <c r="AA172" i="83"/>
  <c r="AA44" i="71" s="1"/>
  <c r="AA149" i="71" s="1"/>
  <c r="M201" i="83"/>
  <c r="M74" i="71" s="1"/>
  <c r="M179" i="71" s="1"/>
  <c r="AB143" i="83"/>
  <c r="X143" i="83"/>
  <c r="J201" i="83"/>
  <c r="J74" i="71" s="1"/>
  <c r="J179" i="71" s="1"/>
  <c r="AB230" i="83"/>
  <c r="AB104" i="71" s="1"/>
  <c r="AB209" i="71" s="1"/>
  <c r="Q230" i="83"/>
  <c r="Q104" i="71" s="1"/>
  <c r="Q209" i="71" s="1"/>
  <c r="Q172" i="83"/>
  <c r="Q44" i="71" s="1"/>
  <c r="Q149" i="71" s="1"/>
  <c r="S230" i="83"/>
  <c r="S104" i="71" s="1"/>
  <c r="S209" i="71" s="1"/>
  <c r="J222" i="83"/>
  <c r="J96" i="71" s="1"/>
  <c r="J201" i="71" s="1"/>
  <c r="J135" i="83"/>
  <c r="J137" i="72" s="1"/>
  <c r="J207" i="72" s="1"/>
  <c r="J237" i="72" s="1"/>
  <c r="T222" i="83"/>
  <c r="T96" i="71" s="1"/>
  <c r="T201" i="71" s="1"/>
  <c r="O135" i="83"/>
  <c r="O137" i="72" s="1"/>
  <c r="O207" i="72" s="1"/>
  <c r="O237" i="72" s="1"/>
  <c r="M135" i="83"/>
  <c r="M137" i="72" s="1"/>
  <c r="M207" i="72" s="1"/>
  <c r="M237" i="72" s="1"/>
  <c r="AA193" i="83"/>
  <c r="AA66" i="71" s="1"/>
  <c r="AA171" i="71" s="1"/>
  <c r="V222" i="83"/>
  <c r="V96" i="71" s="1"/>
  <c r="V201" i="71" s="1"/>
  <c r="K193" i="83"/>
  <c r="K66" i="71" s="1"/>
  <c r="K171" i="71" s="1"/>
  <c r="T135" i="83"/>
  <c r="T137" i="72" s="1"/>
  <c r="T207" i="72" s="1"/>
  <c r="T237" i="72" s="1"/>
  <c r="AB222" i="83"/>
  <c r="AB96" i="71" s="1"/>
  <c r="AB201" i="71" s="1"/>
  <c r="W193" i="83"/>
  <c r="W66" i="71" s="1"/>
  <c r="W171" i="71" s="1"/>
  <c r="N135" i="83"/>
  <c r="N137" i="72" s="1"/>
  <c r="N207" i="72" s="1"/>
  <c r="N237" i="72" s="1"/>
  <c r="W222" i="83"/>
  <c r="W96" i="71" s="1"/>
  <c r="W201" i="71" s="1"/>
  <c r="K135" i="83"/>
  <c r="K137" i="72" s="1"/>
  <c r="K207" i="72" s="1"/>
  <c r="K237" i="72" s="1"/>
  <c r="U193" i="83"/>
  <c r="U66" i="71" s="1"/>
  <c r="U171" i="71" s="1"/>
  <c r="M193" i="83"/>
  <c r="M66" i="71" s="1"/>
  <c r="M171" i="71" s="1"/>
  <c r="L222" i="83"/>
  <c r="L96" i="71" s="1"/>
  <c r="L201" i="71" s="1"/>
  <c r="J164" i="83"/>
  <c r="AB193" i="83"/>
  <c r="AB66" i="71" s="1"/>
  <c r="AB171" i="71" s="1"/>
  <c r="Z222" i="83"/>
  <c r="Z96" i="71" s="1"/>
  <c r="Z201" i="71" s="1"/>
  <c r="P193" i="83"/>
  <c r="P66" i="71" s="1"/>
  <c r="P171" i="71" s="1"/>
  <c r="J193" i="83"/>
  <c r="J66" i="71" s="1"/>
  <c r="J171" i="71" s="1"/>
  <c r="L193" i="83"/>
  <c r="L66" i="71" s="1"/>
  <c r="L171" i="71" s="1"/>
  <c r="AA222" i="83"/>
  <c r="AA96" i="71" s="1"/>
  <c r="AA201" i="71" s="1"/>
  <c r="L135" i="83"/>
  <c r="L137" i="72" s="1"/>
  <c r="L207" i="72" s="1"/>
  <c r="L237" i="72" s="1"/>
  <c r="Y193" i="83"/>
  <c r="Y66" i="71" s="1"/>
  <c r="Y171" i="71" s="1"/>
  <c r="Y222" i="83"/>
  <c r="Y96" i="71" s="1"/>
  <c r="Y201" i="71" s="1"/>
  <c r="X193" i="83"/>
  <c r="X66" i="71" s="1"/>
  <c r="X171" i="71" s="1"/>
  <c r="P222" i="83"/>
  <c r="P96" i="71" s="1"/>
  <c r="P201" i="71" s="1"/>
  <c r="O222" i="83"/>
  <c r="O96" i="71" s="1"/>
  <c r="O201" i="71" s="1"/>
  <c r="X222" i="83"/>
  <c r="X96" i="71" s="1"/>
  <c r="X201" i="71" s="1"/>
  <c r="S222" i="83"/>
  <c r="S96" i="71" s="1"/>
  <c r="S201" i="71" s="1"/>
  <c r="Z164" i="83"/>
  <c r="AB164" i="83"/>
  <c r="T164" i="83"/>
  <c r="AA164" i="83"/>
  <c r="Y164" i="83"/>
  <c r="Q164" i="83"/>
  <c r="R164" i="83"/>
  <c r="T193" i="83"/>
  <c r="T66" i="71" s="1"/>
  <c r="T171" i="71" s="1"/>
  <c r="K222" i="83"/>
  <c r="K96" i="71" s="1"/>
  <c r="K201" i="71" s="1"/>
  <c r="U222" i="83"/>
  <c r="U96" i="71" s="1"/>
  <c r="U201" i="71" s="1"/>
  <c r="N164" i="83"/>
  <c r="V164" i="83"/>
  <c r="S193" i="83"/>
  <c r="S66" i="71" s="1"/>
  <c r="S171" i="71" s="1"/>
  <c r="O164" i="83"/>
  <c r="K164" i="83"/>
  <c r="X164" i="83"/>
  <c r="Z193" i="83"/>
  <c r="Z66" i="71" s="1"/>
  <c r="Z171" i="71" s="1"/>
  <c r="M222" i="83"/>
  <c r="M96" i="71" s="1"/>
  <c r="M201" i="71" s="1"/>
  <c r="Q135" i="83"/>
  <c r="Q137" i="72" s="1"/>
  <c r="Q207" i="72" s="1"/>
  <c r="Q237" i="72" s="1"/>
  <c r="P164" i="83"/>
  <c r="S135" i="83"/>
  <c r="S137" i="72" s="1"/>
  <c r="S207" i="72" s="1"/>
  <c r="S237" i="72" s="1"/>
  <c r="V193" i="83"/>
  <c r="V66" i="71" s="1"/>
  <c r="V171" i="71" s="1"/>
  <c r="P135" i="83"/>
  <c r="P137" i="72" s="1"/>
  <c r="P207" i="72" s="1"/>
  <c r="P237" i="72" s="1"/>
  <c r="U164" i="83"/>
  <c r="W164" i="83"/>
  <c r="S164" i="83"/>
  <c r="AA135" i="83"/>
  <c r="V135" i="83"/>
  <c r="N193" i="83"/>
  <c r="N66" i="71" s="1"/>
  <c r="N171" i="71" s="1"/>
  <c r="X135" i="83"/>
  <c r="O193" i="83"/>
  <c r="O66" i="71" s="1"/>
  <c r="O171" i="71" s="1"/>
  <c r="R222" i="83"/>
  <c r="R96" i="71" s="1"/>
  <c r="R201" i="71" s="1"/>
  <c r="Y135" i="83"/>
  <c r="N222" i="83"/>
  <c r="N96" i="71" s="1"/>
  <c r="N201" i="71" s="1"/>
  <c r="AB135" i="83"/>
  <c r="Q193" i="83"/>
  <c r="Q66" i="71" s="1"/>
  <c r="Q171" i="71" s="1"/>
  <c r="M164" i="83"/>
  <c r="L164" i="83"/>
  <c r="R135" i="83"/>
  <c r="R137" i="72" s="1"/>
  <c r="R207" i="72" s="1"/>
  <c r="R237" i="72" s="1"/>
  <c r="R193" i="83"/>
  <c r="R66" i="71" s="1"/>
  <c r="R171" i="71" s="1"/>
  <c r="U135" i="83"/>
  <c r="Q222" i="83"/>
  <c r="Q96" i="71" s="1"/>
  <c r="Q201" i="71" s="1"/>
  <c r="W135" i="83"/>
  <c r="Z135" i="83"/>
  <c r="AB177" i="72"/>
  <c r="AB212" i="72" s="1"/>
  <c r="AB242" i="72" s="1"/>
  <c r="W177" i="72"/>
  <c r="W212" i="72" s="1"/>
  <c r="W242" i="72" s="1"/>
  <c r="U177" i="72"/>
  <c r="U212" i="72" s="1"/>
  <c r="U242" i="72" s="1"/>
  <c r="Z177" i="72"/>
  <c r="Z212" i="72" s="1"/>
  <c r="Z242" i="72" s="1"/>
  <c r="X177" i="72"/>
  <c r="X212" i="72" s="1"/>
  <c r="X242" i="72" s="1"/>
  <c r="V177" i="72"/>
  <c r="V212" i="72" s="1"/>
  <c r="V242" i="72" s="1"/>
  <c r="Y177" i="72"/>
  <c r="Y212" i="72" s="1"/>
  <c r="Y242" i="72" s="1"/>
  <c r="AA177" i="72"/>
  <c r="AA212" i="72" s="1"/>
  <c r="AA242" i="72" s="1"/>
  <c r="U172" i="72"/>
  <c r="U207" i="72" s="1"/>
  <c r="U237" i="72" s="1"/>
  <c r="AB172" i="72"/>
  <c r="AB207" i="72" s="1"/>
  <c r="AB237" i="72" s="1"/>
  <c r="X172" i="72"/>
  <c r="X207" i="72" s="1"/>
  <c r="X237" i="72" s="1"/>
  <c r="Z172" i="72"/>
  <c r="Z207" i="72" s="1"/>
  <c r="Z237" i="72" s="1"/>
  <c r="V172" i="72"/>
  <c r="V207" i="72" s="1"/>
  <c r="V237" i="72" s="1"/>
  <c r="Y172" i="72"/>
  <c r="Y207" i="72" s="1"/>
  <c r="Y237" i="72" s="1"/>
  <c r="AA172" i="72"/>
  <c r="AA207" i="72" s="1"/>
  <c r="AA237" i="72" s="1"/>
  <c r="W172" i="72"/>
  <c r="W207" i="72" s="1"/>
  <c r="W237" i="72" s="1"/>
  <c r="S151" i="73"/>
  <c r="T151" i="73"/>
  <c r="J151" i="73"/>
  <c r="M151" i="73"/>
  <c r="O151" i="73"/>
  <c r="R151" i="73"/>
  <c r="N151" i="73"/>
  <c r="P151" i="73"/>
  <c r="K151" i="73"/>
  <c r="L151" i="73"/>
  <c r="Q151" i="73"/>
  <c r="R181" i="73"/>
  <c r="R241" i="73" s="1"/>
  <c r="L181" i="73"/>
  <c r="L241" i="73" s="1"/>
  <c r="K181" i="73"/>
  <c r="K241" i="73" s="1"/>
  <c r="J181" i="73"/>
  <c r="J241" i="73" s="1"/>
  <c r="P181" i="73"/>
  <c r="P241" i="73" s="1"/>
  <c r="T181" i="73"/>
  <c r="T241" i="73" s="1"/>
  <c r="M181" i="73"/>
  <c r="M241" i="73" s="1"/>
  <c r="S181" i="73"/>
  <c r="S241" i="73" s="1"/>
  <c r="O181" i="73"/>
  <c r="O241" i="73" s="1"/>
  <c r="N181" i="73"/>
  <c r="N241" i="73" s="1"/>
  <c r="Q181" i="73"/>
  <c r="Q241" i="73" s="1"/>
  <c r="P146" i="73"/>
  <c r="S146" i="73"/>
  <c r="R146" i="73"/>
  <c r="K146" i="73"/>
  <c r="N146" i="73"/>
  <c r="M146" i="73"/>
  <c r="Q146" i="73"/>
  <c r="J146" i="73"/>
  <c r="O146" i="73"/>
  <c r="M176" i="73"/>
  <c r="M236" i="73" s="1"/>
  <c r="P176" i="73"/>
  <c r="P236" i="73" s="1"/>
  <c r="N176" i="73"/>
  <c r="N236" i="73" s="1"/>
  <c r="K176" i="73"/>
  <c r="K236" i="73" s="1"/>
  <c r="R176" i="73"/>
  <c r="R236" i="73" s="1"/>
  <c r="Q176" i="73"/>
  <c r="Q236" i="73" s="1"/>
  <c r="L146" i="73"/>
  <c r="T146" i="73"/>
  <c r="T176" i="73"/>
  <c r="T236" i="73" s="1"/>
  <c r="L176" i="73"/>
  <c r="L236" i="73" s="1"/>
  <c r="O176" i="73"/>
  <c r="O236" i="73" s="1"/>
  <c r="J176" i="73"/>
  <c r="J236" i="73" s="1"/>
  <c r="S176" i="73"/>
  <c r="S236" i="73" s="1"/>
  <c r="L202" i="83"/>
  <c r="L75" i="71" s="1"/>
  <c r="L180" i="71" s="1"/>
  <c r="K144" i="83"/>
  <c r="K146" i="72" s="1"/>
  <c r="K216" i="72" s="1"/>
  <c r="K246" i="72" s="1"/>
  <c r="T173" i="83"/>
  <c r="T45" i="71" s="1"/>
  <c r="T150" i="71" s="1"/>
  <c r="P231" i="83"/>
  <c r="P105" i="71" s="1"/>
  <c r="P210" i="71" s="1"/>
  <c r="X173" i="83"/>
  <c r="X45" i="71" s="1"/>
  <c r="X150" i="71" s="1"/>
  <c r="N144" i="83"/>
  <c r="N146" i="72" s="1"/>
  <c r="N216" i="72" s="1"/>
  <c r="N246" i="72" s="1"/>
  <c r="N173" i="83"/>
  <c r="N45" i="71" s="1"/>
  <c r="N150" i="71" s="1"/>
  <c r="X231" i="83"/>
  <c r="X105" i="71" s="1"/>
  <c r="X210" i="71" s="1"/>
  <c r="Y144" i="83"/>
  <c r="J202" i="83"/>
  <c r="J75" i="71" s="1"/>
  <c r="J180" i="71" s="1"/>
  <c r="O144" i="83"/>
  <c r="O146" i="72" s="1"/>
  <c r="O216" i="72" s="1"/>
  <c r="O246" i="72" s="1"/>
  <c r="O173" i="83"/>
  <c r="O45" i="71" s="1"/>
  <c r="O150" i="71" s="1"/>
  <c r="Z173" i="83"/>
  <c r="Z45" i="71" s="1"/>
  <c r="Z150" i="71" s="1"/>
  <c r="J144" i="83"/>
  <c r="J146" i="72" s="1"/>
  <c r="J216" i="72" s="1"/>
  <c r="J246" i="72" s="1"/>
  <c r="AA202" i="83"/>
  <c r="AA75" i="71" s="1"/>
  <c r="AA180" i="71" s="1"/>
  <c r="M202" i="83"/>
  <c r="M75" i="71" s="1"/>
  <c r="M180" i="71" s="1"/>
  <c r="S173" i="83"/>
  <c r="S45" i="71" s="1"/>
  <c r="S150" i="71" s="1"/>
  <c r="R202" i="83"/>
  <c r="R75" i="71" s="1"/>
  <c r="R180" i="71" s="1"/>
  <c r="Q231" i="83"/>
  <c r="Q105" i="71" s="1"/>
  <c r="Q210" i="71" s="1"/>
  <c r="AA144" i="83"/>
  <c r="Z202" i="83"/>
  <c r="Z75" i="71" s="1"/>
  <c r="Z180" i="71" s="1"/>
  <c r="AB144" i="83"/>
  <c r="W202" i="83"/>
  <c r="W75" i="71" s="1"/>
  <c r="W180" i="71" s="1"/>
  <c r="W173" i="83"/>
  <c r="W45" i="71" s="1"/>
  <c r="W150" i="71" s="1"/>
  <c r="K231" i="83"/>
  <c r="K105" i="71" s="1"/>
  <c r="K210" i="71" s="1"/>
  <c r="U144" i="83"/>
  <c r="X202" i="83"/>
  <c r="X75" i="71" s="1"/>
  <c r="X180" i="71" s="1"/>
  <c r="V202" i="83"/>
  <c r="V75" i="71" s="1"/>
  <c r="V180" i="71" s="1"/>
  <c r="L231" i="83"/>
  <c r="L105" i="71" s="1"/>
  <c r="L210" i="71" s="1"/>
  <c r="U231" i="83"/>
  <c r="U105" i="71" s="1"/>
  <c r="U210" i="71" s="1"/>
  <c r="W231" i="83"/>
  <c r="W105" i="71" s="1"/>
  <c r="W210" i="71" s="1"/>
  <c r="P144" i="83"/>
  <c r="P146" i="72" s="1"/>
  <c r="P216" i="72" s="1"/>
  <c r="P246" i="72" s="1"/>
  <c r="J173" i="83"/>
  <c r="J45" i="71" s="1"/>
  <c r="J150" i="71" s="1"/>
  <c r="V231" i="83"/>
  <c r="V105" i="71" s="1"/>
  <c r="V210" i="71" s="1"/>
  <c r="S202" i="83"/>
  <c r="S75" i="71" s="1"/>
  <c r="S180" i="71" s="1"/>
  <c r="S231" i="83"/>
  <c r="S105" i="71" s="1"/>
  <c r="S210" i="71" s="1"/>
  <c r="Y173" i="83"/>
  <c r="Y45" i="71" s="1"/>
  <c r="Y150" i="71" s="1"/>
  <c r="T144" i="83"/>
  <c r="T146" i="72" s="1"/>
  <c r="T216" i="72" s="1"/>
  <c r="T246" i="72" s="1"/>
  <c r="K173" i="83"/>
  <c r="K45" i="71" s="1"/>
  <c r="K150" i="71" s="1"/>
  <c r="P202" i="83"/>
  <c r="P75" i="71" s="1"/>
  <c r="P180" i="71" s="1"/>
  <c r="AA231" i="83"/>
  <c r="AA105" i="71" s="1"/>
  <c r="AA210" i="71" s="1"/>
  <c r="L144" i="83"/>
  <c r="L146" i="72" s="1"/>
  <c r="L216" i="72" s="1"/>
  <c r="L246" i="72" s="1"/>
  <c r="L173" i="83"/>
  <c r="L45" i="71" s="1"/>
  <c r="L150" i="71" s="1"/>
  <c r="T202" i="83"/>
  <c r="T75" i="71" s="1"/>
  <c r="T180" i="71" s="1"/>
  <c r="Z144" i="83"/>
  <c r="M144" i="83"/>
  <c r="M146" i="72" s="1"/>
  <c r="M216" i="72" s="1"/>
  <c r="M246" i="72" s="1"/>
  <c r="M173" i="83"/>
  <c r="M45" i="71" s="1"/>
  <c r="M150" i="71" s="1"/>
  <c r="N231" i="83"/>
  <c r="N105" i="71" s="1"/>
  <c r="N210" i="71" s="1"/>
  <c r="V173" i="83"/>
  <c r="V45" i="71" s="1"/>
  <c r="V150" i="71" s="1"/>
  <c r="AB202" i="83"/>
  <c r="AB75" i="71" s="1"/>
  <c r="AB180" i="71" s="1"/>
  <c r="Y202" i="83"/>
  <c r="Y75" i="71" s="1"/>
  <c r="Y180" i="71" s="1"/>
  <c r="O231" i="83"/>
  <c r="O105" i="71" s="1"/>
  <c r="O210" i="71" s="1"/>
  <c r="P173" i="83"/>
  <c r="P45" i="71" s="1"/>
  <c r="P150" i="71" s="1"/>
  <c r="Q202" i="83"/>
  <c r="Q75" i="71" s="1"/>
  <c r="Q180" i="71" s="1"/>
  <c r="R231" i="83"/>
  <c r="R105" i="71" s="1"/>
  <c r="R210" i="71" s="1"/>
  <c r="R144" i="83"/>
  <c r="R146" i="72" s="1"/>
  <c r="R216" i="72" s="1"/>
  <c r="R246" i="72" s="1"/>
  <c r="U202" i="83"/>
  <c r="U75" i="71" s="1"/>
  <c r="U180" i="71" s="1"/>
  <c r="AB173" i="83"/>
  <c r="AB45" i="71" s="1"/>
  <c r="AB150" i="71" s="1"/>
  <c r="U173" i="83"/>
  <c r="U45" i="71" s="1"/>
  <c r="U150" i="71" s="1"/>
  <c r="X144" i="83"/>
  <c r="S144" i="83"/>
  <c r="S146" i="72" s="1"/>
  <c r="S216" i="72" s="1"/>
  <c r="S246" i="72" s="1"/>
  <c r="AB231" i="83"/>
  <c r="AB105" i="71" s="1"/>
  <c r="AB210" i="71" s="1"/>
  <c r="V144" i="83"/>
  <c r="Z231" i="83"/>
  <c r="Z105" i="71" s="1"/>
  <c r="Z210" i="71" s="1"/>
  <c r="M231" i="83"/>
  <c r="M105" i="71" s="1"/>
  <c r="M210" i="71" s="1"/>
  <c r="W144" i="83"/>
  <c r="Q173" i="83"/>
  <c r="Q45" i="71" s="1"/>
  <c r="Q150" i="71" s="1"/>
  <c r="Q144" i="83"/>
  <c r="Q146" i="72" s="1"/>
  <c r="Q216" i="72" s="1"/>
  <c r="Q246" i="72" s="1"/>
  <c r="AA173" i="83"/>
  <c r="AA45" i="71" s="1"/>
  <c r="AA150" i="71" s="1"/>
  <c r="J231" i="83"/>
  <c r="J105" i="71" s="1"/>
  <c r="J210" i="71" s="1"/>
  <c r="Y231" i="83"/>
  <c r="Y105" i="71" s="1"/>
  <c r="Y210" i="71" s="1"/>
  <c r="K202" i="83"/>
  <c r="K75" i="71" s="1"/>
  <c r="K180" i="71" s="1"/>
  <c r="T231" i="83"/>
  <c r="T105" i="71" s="1"/>
  <c r="T210" i="71" s="1"/>
  <c r="N202" i="83"/>
  <c r="N75" i="71" s="1"/>
  <c r="N180" i="71" s="1"/>
  <c r="O202" i="83"/>
  <c r="O75" i="71" s="1"/>
  <c r="O180" i="71" s="1"/>
  <c r="R173" i="83"/>
  <c r="R45" i="71" s="1"/>
  <c r="R150" i="71" s="1"/>
  <c r="Y136" i="83"/>
  <c r="AB136" i="83"/>
  <c r="J223" i="83"/>
  <c r="J97" i="71" s="1"/>
  <c r="J202" i="71" s="1"/>
  <c r="N194" i="83"/>
  <c r="N67" i="71" s="1"/>
  <c r="N172" i="71" s="1"/>
  <c r="AB194" i="83"/>
  <c r="AB67" i="71" s="1"/>
  <c r="AB172" i="71" s="1"/>
  <c r="W223" i="83"/>
  <c r="W97" i="71" s="1"/>
  <c r="W202" i="71" s="1"/>
  <c r="T136" i="83"/>
  <c r="T138" i="72" s="1"/>
  <c r="T208" i="72" s="1"/>
  <c r="T238" i="72" s="1"/>
  <c r="L194" i="83"/>
  <c r="L67" i="71" s="1"/>
  <c r="L172" i="71" s="1"/>
  <c r="O194" i="83"/>
  <c r="O67" i="71" s="1"/>
  <c r="O172" i="71" s="1"/>
  <c r="Y194" i="83"/>
  <c r="Y67" i="71" s="1"/>
  <c r="Y172" i="71" s="1"/>
  <c r="AA165" i="83"/>
  <c r="AA37" i="71" s="1"/>
  <c r="AA142" i="71" s="1"/>
  <c r="AB223" i="83"/>
  <c r="AB97" i="71" s="1"/>
  <c r="AB202" i="71" s="1"/>
  <c r="X165" i="83"/>
  <c r="X37" i="71" s="1"/>
  <c r="X142" i="71" s="1"/>
  <c r="T223" i="83"/>
  <c r="T97" i="71" s="1"/>
  <c r="T202" i="71" s="1"/>
  <c r="K136" i="83"/>
  <c r="K138" i="72" s="1"/>
  <c r="K208" i="72" s="1"/>
  <c r="K238" i="72" s="1"/>
  <c r="N165" i="83"/>
  <c r="N37" i="71" s="1"/>
  <c r="N142" i="71" s="1"/>
  <c r="P223" i="83"/>
  <c r="P97" i="71" s="1"/>
  <c r="P202" i="71" s="1"/>
  <c r="S136" i="83"/>
  <c r="S138" i="72" s="1"/>
  <c r="S208" i="72" s="1"/>
  <c r="S238" i="72" s="1"/>
  <c r="R223" i="83"/>
  <c r="R97" i="71" s="1"/>
  <c r="R202" i="71" s="1"/>
  <c r="R136" i="83"/>
  <c r="R138" i="72" s="1"/>
  <c r="R208" i="72" s="1"/>
  <c r="R238" i="72" s="1"/>
  <c r="S165" i="83"/>
  <c r="S37" i="71" s="1"/>
  <c r="S142" i="71" s="1"/>
  <c r="Q194" i="83"/>
  <c r="Q67" i="71" s="1"/>
  <c r="Q172" i="71" s="1"/>
  <c r="M194" i="83"/>
  <c r="M67" i="71" s="1"/>
  <c r="M172" i="71" s="1"/>
  <c r="Z165" i="83"/>
  <c r="Z37" i="71" s="1"/>
  <c r="Z142" i="71" s="1"/>
  <c r="N136" i="83"/>
  <c r="N138" i="72" s="1"/>
  <c r="N208" i="72" s="1"/>
  <c r="N238" i="72" s="1"/>
  <c r="O165" i="83"/>
  <c r="O37" i="71" s="1"/>
  <c r="O142" i="71" s="1"/>
  <c r="N223" i="83"/>
  <c r="N97" i="71" s="1"/>
  <c r="N202" i="71" s="1"/>
  <c r="M165" i="83"/>
  <c r="M37" i="71" s="1"/>
  <c r="M142" i="71" s="1"/>
  <c r="O136" i="83"/>
  <c r="O138" i="72" s="1"/>
  <c r="O208" i="72" s="1"/>
  <c r="O238" i="72" s="1"/>
  <c r="P165" i="83"/>
  <c r="P37" i="71" s="1"/>
  <c r="P142" i="71" s="1"/>
  <c r="AA223" i="83"/>
  <c r="AA97" i="71" s="1"/>
  <c r="AA202" i="71" s="1"/>
  <c r="M136" i="83"/>
  <c r="M138" i="72" s="1"/>
  <c r="M208" i="72" s="1"/>
  <c r="M238" i="72" s="1"/>
  <c r="V223" i="83"/>
  <c r="V97" i="71" s="1"/>
  <c r="V202" i="71" s="1"/>
  <c r="P194" i="83"/>
  <c r="P67" i="71" s="1"/>
  <c r="P172" i="71" s="1"/>
  <c r="Z194" i="83"/>
  <c r="Z67" i="71" s="1"/>
  <c r="Z172" i="71" s="1"/>
  <c r="T194" i="83"/>
  <c r="T67" i="71" s="1"/>
  <c r="T172" i="71" s="1"/>
  <c r="Y223" i="83"/>
  <c r="Y97" i="71" s="1"/>
  <c r="Y202" i="71" s="1"/>
  <c r="R165" i="83"/>
  <c r="R37" i="71" s="1"/>
  <c r="R142" i="71" s="1"/>
  <c r="Q136" i="83"/>
  <c r="Q138" i="72" s="1"/>
  <c r="Q208" i="72" s="1"/>
  <c r="Q238" i="72" s="1"/>
  <c r="S223" i="83"/>
  <c r="S97" i="71" s="1"/>
  <c r="S202" i="71" s="1"/>
  <c r="Z136" i="83"/>
  <c r="K165" i="83"/>
  <c r="K37" i="71" s="1"/>
  <c r="K142" i="71" s="1"/>
  <c r="U136" i="83"/>
  <c r="U194" i="83"/>
  <c r="U67" i="71" s="1"/>
  <c r="U172" i="71" s="1"/>
  <c r="L165" i="83"/>
  <c r="L37" i="71" s="1"/>
  <c r="L142" i="71" s="1"/>
  <c r="L136" i="83"/>
  <c r="L138" i="72" s="1"/>
  <c r="L208" i="72" s="1"/>
  <c r="L238" i="72" s="1"/>
  <c r="J194" i="83"/>
  <c r="J67" i="71" s="1"/>
  <c r="J172" i="71" s="1"/>
  <c r="V136" i="83"/>
  <c r="V194" i="83"/>
  <c r="V67" i="71" s="1"/>
  <c r="V172" i="71" s="1"/>
  <c r="X194" i="83"/>
  <c r="X67" i="71" s="1"/>
  <c r="X172" i="71" s="1"/>
  <c r="P136" i="83"/>
  <c r="P138" i="72" s="1"/>
  <c r="P208" i="72" s="1"/>
  <c r="P238" i="72" s="1"/>
  <c r="T165" i="83"/>
  <c r="T37" i="71" s="1"/>
  <c r="T142" i="71" s="1"/>
  <c r="U223" i="83"/>
  <c r="U97" i="71" s="1"/>
  <c r="U202" i="71" s="1"/>
  <c r="U165" i="83"/>
  <c r="U37" i="71" s="1"/>
  <c r="U142" i="71" s="1"/>
  <c r="AA194" i="83"/>
  <c r="AA67" i="71" s="1"/>
  <c r="AA172" i="71" s="1"/>
  <c r="S194" i="83"/>
  <c r="S67" i="71" s="1"/>
  <c r="S172" i="71" s="1"/>
  <c r="Q165" i="83"/>
  <c r="Q37" i="71" s="1"/>
  <c r="Q142" i="71" s="1"/>
  <c r="V165" i="83"/>
  <c r="V37" i="71" s="1"/>
  <c r="V142" i="71" s="1"/>
  <c r="Y165" i="83"/>
  <c r="Y37" i="71" s="1"/>
  <c r="Y142" i="71" s="1"/>
  <c r="K194" i="83"/>
  <c r="K67" i="71" s="1"/>
  <c r="K172" i="71" s="1"/>
  <c r="O223" i="83"/>
  <c r="O97" i="71" s="1"/>
  <c r="O202" i="71" s="1"/>
  <c r="Z223" i="83"/>
  <c r="Z97" i="71" s="1"/>
  <c r="Z202" i="71" s="1"/>
  <c r="J136" i="83"/>
  <c r="J138" i="72" s="1"/>
  <c r="J208" i="72" s="1"/>
  <c r="J238" i="72" s="1"/>
  <c r="M223" i="83"/>
  <c r="M97" i="71" s="1"/>
  <c r="M202" i="71" s="1"/>
  <c r="L223" i="83"/>
  <c r="L97" i="71" s="1"/>
  <c r="L202" i="71" s="1"/>
  <c r="K223" i="83"/>
  <c r="K97" i="71" s="1"/>
  <c r="K202" i="71" s="1"/>
  <c r="W194" i="83"/>
  <c r="W67" i="71" s="1"/>
  <c r="W172" i="71" s="1"/>
  <c r="AB165" i="83"/>
  <c r="AB37" i="71" s="1"/>
  <c r="AB142" i="71" s="1"/>
  <c r="R194" i="83"/>
  <c r="R67" i="71" s="1"/>
  <c r="R172" i="71" s="1"/>
  <c r="Q223" i="83"/>
  <c r="Q97" i="71" s="1"/>
  <c r="Q202" i="71" s="1"/>
  <c r="W165" i="83"/>
  <c r="W37" i="71" s="1"/>
  <c r="W142" i="71" s="1"/>
  <c r="X136" i="83"/>
  <c r="AA136" i="83"/>
  <c r="X223" i="83"/>
  <c r="X97" i="71" s="1"/>
  <c r="X202" i="71" s="1"/>
  <c r="J165" i="83"/>
  <c r="J37" i="71" s="1"/>
  <c r="J142" i="71" s="1"/>
  <c r="W136" i="83"/>
  <c r="N142" i="83"/>
  <c r="N144" i="72" s="1"/>
  <c r="N214" i="72" s="1"/>
  <c r="N244" i="72" s="1"/>
  <c r="X200" i="83"/>
  <c r="X73" i="71" s="1"/>
  <c r="X178" i="71" s="1"/>
  <c r="O229" i="83"/>
  <c r="O103" i="71" s="1"/>
  <c r="O208" i="71" s="1"/>
  <c r="U229" i="83"/>
  <c r="U103" i="71" s="1"/>
  <c r="U208" i="71" s="1"/>
  <c r="Y229" i="83"/>
  <c r="Y103" i="71" s="1"/>
  <c r="Y208" i="71" s="1"/>
  <c r="U142" i="83"/>
  <c r="O171" i="83"/>
  <c r="O43" i="71" s="1"/>
  <c r="O148" i="71" s="1"/>
  <c r="M229" i="83"/>
  <c r="M103" i="71" s="1"/>
  <c r="M208" i="71" s="1"/>
  <c r="V229" i="83"/>
  <c r="V103" i="71" s="1"/>
  <c r="V208" i="71" s="1"/>
  <c r="M171" i="83"/>
  <c r="M43" i="71" s="1"/>
  <c r="M148" i="71" s="1"/>
  <c r="J229" i="83"/>
  <c r="J103" i="71" s="1"/>
  <c r="J208" i="71" s="1"/>
  <c r="AA229" i="83"/>
  <c r="AA103" i="71" s="1"/>
  <c r="AA208" i="71" s="1"/>
  <c r="R200" i="83"/>
  <c r="R73" i="71" s="1"/>
  <c r="R178" i="71" s="1"/>
  <c r="R142" i="83"/>
  <c r="R144" i="72" s="1"/>
  <c r="R214" i="72" s="1"/>
  <c r="R244" i="72" s="1"/>
  <c r="S229" i="83"/>
  <c r="S103" i="71" s="1"/>
  <c r="S208" i="71" s="1"/>
  <c r="S200" i="83"/>
  <c r="S73" i="71" s="1"/>
  <c r="S178" i="71" s="1"/>
  <c r="P171" i="83"/>
  <c r="P43" i="71" s="1"/>
  <c r="P148" i="71" s="1"/>
  <c r="M200" i="83"/>
  <c r="M73" i="71" s="1"/>
  <c r="M178" i="71" s="1"/>
  <c r="V171" i="83"/>
  <c r="V43" i="71" s="1"/>
  <c r="V148" i="71" s="1"/>
  <c r="K171" i="83"/>
  <c r="K43" i="71" s="1"/>
  <c r="K148" i="71" s="1"/>
  <c r="T142" i="83"/>
  <c r="T144" i="72" s="1"/>
  <c r="T214" i="72" s="1"/>
  <c r="T244" i="72" s="1"/>
  <c r="AB142" i="83"/>
  <c r="N229" i="83"/>
  <c r="N103" i="71" s="1"/>
  <c r="N208" i="71" s="1"/>
  <c r="AA142" i="83"/>
  <c r="J142" i="83"/>
  <c r="J144" i="72" s="1"/>
  <c r="J214" i="72" s="1"/>
  <c r="J244" i="72" s="1"/>
  <c r="AB229" i="83"/>
  <c r="AB103" i="71" s="1"/>
  <c r="AB208" i="71" s="1"/>
  <c r="V142" i="83"/>
  <c r="Y142" i="83"/>
  <c r="AB200" i="83"/>
  <c r="AB73" i="71" s="1"/>
  <c r="AB178" i="71" s="1"/>
  <c r="T229" i="83"/>
  <c r="T103" i="71" s="1"/>
  <c r="T208" i="71" s="1"/>
  <c r="AB171" i="83"/>
  <c r="AB43" i="71" s="1"/>
  <c r="AB148" i="71" s="1"/>
  <c r="Z142" i="83"/>
  <c r="Y200" i="83"/>
  <c r="Y73" i="71" s="1"/>
  <c r="Y178" i="71" s="1"/>
  <c r="W229" i="83"/>
  <c r="W103" i="71" s="1"/>
  <c r="W208" i="71" s="1"/>
  <c r="R171" i="83"/>
  <c r="R43" i="71" s="1"/>
  <c r="R148" i="71" s="1"/>
  <c r="Q229" i="83"/>
  <c r="Q103" i="71" s="1"/>
  <c r="Q208" i="71" s="1"/>
  <c r="P200" i="83"/>
  <c r="P73" i="71" s="1"/>
  <c r="P178" i="71" s="1"/>
  <c r="AA171" i="83"/>
  <c r="AA43" i="71" s="1"/>
  <c r="AA148" i="71" s="1"/>
  <c r="X229" i="83"/>
  <c r="X103" i="71" s="1"/>
  <c r="X208" i="71" s="1"/>
  <c r="Y171" i="83"/>
  <c r="Y43" i="71" s="1"/>
  <c r="Y148" i="71" s="1"/>
  <c r="J200" i="83"/>
  <c r="J73" i="71" s="1"/>
  <c r="J178" i="71" s="1"/>
  <c r="L171" i="83"/>
  <c r="L43" i="71" s="1"/>
  <c r="L148" i="71" s="1"/>
  <c r="T200" i="83"/>
  <c r="T73" i="71" s="1"/>
  <c r="T178" i="71" s="1"/>
  <c r="O200" i="83"/>
  <c r="O73" i="71" s="1"/>
  <c r="O178" i="71" s="1"/>
  <c r="L142" i="83"/>
  <c r="L144" i="72" s="1"/>
  <c r="L214" i="72" s="1"/>
  <c r="L244" i="72" s="1"/>
  <c r="W171" i="83"/>
  <c r="W43" i="71" s="1"/>
  <c r="W148" i="71" s="1"/>
  <c r="P142" i="83"/>
  <c r="P144" i="72" s="1"/>
  <c r="P214" i="72" s="1"/>
  <c r="P244" i="72" s="1"/>
  <c r="T171" i="83"/>
  <c r="T43" i="71" s="1"/>
  <c r="T148" i="71" s="1"/>
  <c r="J171" i="83"/>
  <c r="J43" i="71" s="1"/>
  <c r="J148" i="71" s="1"/>
  <c r="M142" i="83"/>
  <c r="M144" i="72" s="1"/>
  <c r="M214" i="72" s="1"/>
  <c r="M244" i="72" s="1"/>
  <c r="AA200" i="83"/>
  <c r="AA73" i="71" s="1"/>
  <c r="AA178" i="71" s="1"/>
  <c r="S142" i="83"/>
  <c r="S144" i="72" s="1"/>
  <c r="S214" i="72" s="1"/>
  <c r="S244" i="72" s="1"/>
  <c r="R229" i="83"/>
  <c r="R103" i="71" s="1"/>
  <c r="R208" i="71" s="1"/>
  <c r="Q142" i="83"/>
  <c r="Q144" i="72" s="1"/>
  <c r="Q214" i="72" s="1"/>
  <c r="Q244" i="72" s="1"/>
  <c r="Q171" i="83"/>
  <c r="Q43" i="71" s="1"/>
  <c r="Q148" i="71" s="1"/>
  <c r="Z229" i="83"/>
  <c r="Z103" i="71" s="1"/>
  <c r="Z208" i="71" s="1"/>
  <c r="Z171" i="83"/>
  <c r="Z43" i="71" s="1"/>
  <c r="Z148" i="71" s="1"/>
  <c r="V200" i="83"/>
  <c r="V73" i="71" s="1"/>
  <c r="V178" i="71" s="1"/>
  <c r="W142" i="83"/>
  <c r="X171" i="83"/>
  <c r="X43" i="71" s="1"/>
  <c r="X148" i="71" s="1"/>
  <c r="K200" i="83"/>
  <c r="K73" i="71" s="1"/>
  <c r="K178" i="71" s="1"/>
  <c r="P229" i="83"/>
  <c r="P103" i="71" s="1"/>
  <c r="P208" i="71" s="1"/>
  <c r="U171" i="83"/>
  <c r="U43" i="71" s="1"/>
  <c r="U148" i="71" s="1"/>
  <c r="L200" i="83"/>
  <c r="L73" i="71" s="1"/>
  <c r="L178" i="71" s="1"/>
  <c r="Q200" i="83"/>
  <c r="Q73" i="71" s="1"/>
  <c r="Q178" i="71" s="1"/>
  <c r="Z200" i="83"/>
  <c r="Z73" i="71" s="1"/>
  <c r="Z178" i="71" s="1"/>
  <c r="O142" i="83"/>
  <c r="O144" i="72" s="1"/>
  <c r="O214" i="72" s="1"/>
  <c r="O244" i="72" s="1"/>
  <c r="S171" i="83"/>
  <c r="S43" i="71" s="1"/>
  <c r="S148" i="71" s="1"/>
  <c r="W200" i="83"/>
  <c r="W73" i="71" s="1"/>
  <c r="W178" i="71" s="1"/>
  <c r="X142" i="83"/>
  <c r="N200" i="83"/>
  <c r="N73" i="71" s="1"/>
  <c r="N178" i="71" s="1"/>
  <c r="L229" i="83"/>
  <c r="L103" i="71" s="1"/>
  <c r="L208" i="71" s="1"/>
  <c r="K142" i="83"/>
  <c r="K144" i="72" s="1"/>
  <c r="K214" i="72" s="1"/>
  <c r="K244" i="72" s="1"/>
  <c r="N171" i="83"/>
  <c r="N43" i="71" s="1"/>
  <c r="N148" i="71" s="1"/>
  <c r="U200" i="83"/>
  <c r="U73" i="71" s="1"/>
  <c r="U178" i="71" s="1"/>
  <c r="K229" i="83"/>
  <c r="K103" i="71" s="1"/>
  <c r="K208" i="71" s="1"/>
  <c r="V173" i="72"/>
  <c r="V208" i="72" s="1"/>
  <c r="V238" i="72" s="1"/>
  <c r="AA173" i="72"/>
  <c r="AA208" i="72" s="1"/>
  <c r="AA238" i="72" s="1"/>
  <c r="Z173" i="72"/>
  <c r="Z208" i="72" s="1"/>
  <c r="Z238" i="72" s="1"/>
  <c r="U173" i="72"/>
  <c r="U208" i="72" s="1"/>
  <c r="U238" i="72" s="1"/>
  <c r="AB173" i="72"/>
  <c r="AB208" i="72" s="1"/>
  <c r="AB238" i="72" s="1"/>
  <c r="X173" i="72"/>
  <c r="X208" i="72" s="1"/>
  <c r="X238" i="72" s="1"/>
  <c r="Y173" i="72"/>
  <c r="Y208" i="72" s="1"/>
  <c r="Y238" i="72" s="1"/>
  <c r="W173" i="72"/>
  <c r="W208" i="72" s="1"/>
  <c r="W238" i="72" s="1"/>
  <c r="W174" i="72"/>
  <c r="W209" i="72" s="1"/>
  <c r="W239" i="72" s="1"/>
  <c r="Z174" i="72"/>
  <c r="Z209" i="72" s="1"/>
  <c r="Z239" i="72" s="1"/>
  <c r="U174" i="72"/>
  <c r="U209" i="72" s="1"/>
  <c r="U239" i="72" s="1"/>
  <c r="V174" i="72"/>
  <c r="V209" i="72" s="1"/>
  <c r="V239" i="72" s="1"/>
  <c r="AB174" i="72"/>
  <c r="AB209" i="72" s="1"/>
  <c r="AB239" i="72" s="1"/>
  <c r="X174" i="72"/>
  <c r="X209" i="72" s="1"/>
  <c r="X239" i="72" s="1"/>
  <c r="AA174" i="72"/>
  <c r="AA209" i="72" s="1"/>
  <c r="AA239" i="72" s="1"/>
  <c r="Y174" i="72"/>
  <c r="Y209" i="72" s="1"/>
  <c r="Y239" i="72" s="1"/>
  <c r="AA178" i="72"/>
  <c r="AA213" i="72" s="1"/>
  <c r="AA243" i="72" s="1"/>
  <c r="X178" i="72"/>
  <c r="X213" i="72" s="1"/>
  <c r="X243" i="72" s="1"/>
  <c r="Z178" i="72"/>
  <c r="Z213" i="72" s="1"/>
  <c r="Z243" i="72" s="1"/>
  <c r="Y178" i="72"/>
  <c r="Y213" i="72" s="1"/>
  <c r="Y243" i="72" s="1"/>
  <c r="W178" i="72"/>
  <c r="W213" i="72" s="1"/>
  <c r="W243" i="72" s="1"/>
  <c r="V178" i="72"/>
  <c r="V213" i="72" s="1"/>
  <c r="V243" i="72" s="1"/>
  <c r="AB178" i="72"/>
  <c r="AB213" i="72" s="1"/>
  <c r="AB243" i="72" s="1"/>
  <c r="U178" i="72"/>
  <c r="U213" i="72" s="1"/>
  <c r="U243" i="72" s="1"/>
  <c r="M150" i="73"/>
  <c r="J150" i="73"/>
  <c r="S150" i="73"/>
  <c r="L150" i="73"/>
  <c r="T150" i="73"/>
  <c r="N150" i="73"/>
  <c r="R150" i="73"/>
  <c r="P150" i="73"/>
  <c r="Q150" i="73"/>
  <c r="O150" i="73"/>
  <c r="K150" i="73"/>
  <c r="J180" i="73"/>
  <c r="J240" i="73" s="1"/>
  <c r="O180" i="73"/>
  <c r="O240" i="73" s="1"/>
  <c r="L180" i="73"/>
  <c r="L240" i="73" s="1"/>
  <c r="P180" i="73"/>
  <c r="P240" i="73" s="1"/>
  <c r="Q180" i="73"/>
  <c r="Q240" i="73" s="1"/>
  <c r="S180" i="73"/>
  <c r="S240" i="73" s="1"/>
  <c r="K180" i="73"/>
  <c r="K240" i="73" s="1"/>
  <c r="M180" i="73"/>
  <c r="M240" i="73" s="1"/>
  <c r="N180" i="73"/>
  <c r="N240" i="73" s="1"/>
  <c r="T180" i="73"/>
  <c r="T240" i="73" s="1"/>
  <c r="R180" i="73"/>
  <c r="R240" i="73" s="1"/>
  <c r="Q154" i="73"/>
  <c r="O154" i="73"/>
  <c r="T154" i="73"/>
  <c r="M154" i="73"/>
  <c r="L154" i="73"/>
  <c r="S154" i="73"/>
  <c r="K154" i="73"/>
  <c r="J154" i="73"/>
  <c r="R154" i="73"/>
  <c r="N154" i="73"/>
  <c r="P154" i="73"/>
  <c r="J184" i="73"/>
  <c r="J244" i="73" s="1"/>
  <c r="T184" i="73"/>
  <c r="T244" i="73" s="1"/>
  <c r="N184" i="73"/>
  <c r="N244" i="73" s="1"/>
  <c r="P184" i="73"/>
  <c r="P244" i="73" s="1"/>
  <c r="Q184" i="73"/>
  <c r="Q244" i="73" s="1"/>
  <c r="K184" i="73"/>
  <c r="K244" i="73" s="1"/>
  <c r="O184" i="73"/>
  <c r="O244" i="73" s="1"/>
  <c r="L184" i="73"/>
  <c r="L244" i="73" s="1"/>
  <c r="M184" i="73"/>
  <c r="M244" i="73" s="1"/>
  <c r="S184" i="73"/>
  <c r="S244" i="73" s="1"/>
  <c r="R184" i="73"/>
  <c r="R244" i="73" s="1"/>
  <c r="O149" i="73"/>
  <c r="R149" i="73"/>
  <c r="L149" i="73"/>
  <c r="S149" i="73"/>
  <c r="N149" i="73"/>
  <c r="P149" i="73"/>
  <c r="J149" i="73"/>
  <c r="Q149" i="73"/>
  <c r="K149" i="73"/>
  <c r="T149" i="73"/>
  <c r="J179" i="73"/>
  <c r="J239" i="73" s="1"/>
  <c r="L179" i="73"/>
  <c r="L239" i="73" s="1"/>
  <c r="K179" i="73"/>
  <c r="K239" i="73" s="1"/>
  <c r="O179" i="73"/>
  <c r="O239" i="73" s="1"/>
  <c r="S179" i="73"/>
  <c r="S239" i="73" s="1"/>
  <c r="M149" i="73"/>
  <c r="P179" i="73"/>
  <c r="P239" i="73" s="1"/>
  <c r="T179" i="73"/>
  <c r="T239" i="73" s="1"/>
  <c r="N179" i="73"/>
  <c r="N239" i="73" s="1"/>
  <c r="M179" i="73"/>
  <c r="M239" i="73" s="1"/>
  <c r="Q179" i="73"/>
  <c r="Q239" i="73" s="1"/>
  <c r="R179" i="73"/>
  <c r="R239" i="73" s="1"/>
  <c r="AA138" i="83"/>
  <c r="O225" i="83"/>
  <c r="O99" i="71" s="1"/>
  <c r="O204" i="71" s="1"/>
  <c r="AB138" i="83"/>
  <c r="L196" i="83"/>
  <c r="L69" i="71" s="1"/>
  <c r="L174" i="71" s="1"/>
  <c r="Z167" i="83"/>
  <c r="Z39" i="71" s="1"/>
  <c r="Z144" i="71" s="1"/>
  <c r="J225" i="83"/>
  <c r="J99" i="71" s="1"/>
  <c r="J204" i="71" s="1"/>
  <c r="U138" i="83"/>
  <c r="M196" i="83"/>
  <c r="M69" i="71" s="1"/>
  <c r="M174" i="71" s="1"/>
  <c r="Y196" i="83"/>
  <c r="Y69" i="71" s="1"/>
  <c r="Y174" i="71" s="1"/>
  <c r="K225" i="83"/>
  <c r="K99" i="71" s="1"/>
  <c r="K204" i="71" s="1"/>
  <c r="V138" i="83"/>
  <c r="AA196" i="83"/>
  <c r="AA69" i="71" s="1"/>
  <c r="AA174" i="71" s="1"/>
  <c r="Y225" i="83"/>
  <c r="Y99" i="71" s="1"/>
  <c r="Y204" i="71" s="1"/>
  <c r="L225" i="83"/>
  <c r="L99" i="71" s="1"/>
  <c r="L204" i="71" s="1"/>
  <c r="W138" i="83"/>
  <c r="U196" i="83"/>
  <c r="U69" i="71" s="1"/>
  <c r="U174" i="71" s="1"/>
  <c r="Q138" i="83"/>
  <c r="Q140" i="72" s="1"/>
  <c r="Q210" i="72" s="1"/>
  <c r="Q240" i="72" s="1"/>
  <c r="Q167" i="83"/>
  <c r="Q39" i="71" s="1"/>
  <c r="Q144" i="71" s="1"/>
  <c r="Q225" i="83"/>
  <c r="Q99" i="71" s="1"/>
  <c r="Q204" i="71" s="1"/>
  <c r="J196" i="83"/>
  <c r="J69" i="71" s="1"/>
  <c r="J174" i="71" s="1"/>
  <c r="X138" i="83"/>
  <c r="K196" i="83"/>
  <c r="K69" i="71" s="1"/>
  <c r="K174" i="71" s="1"/>
  <c r="Z225" i="83"/>
  <c r="Z99" i="71" s="1"/>
  <c r="Z204" i="71" s="1"/>
  <c r="AA167" i="83"/>
  <c r="AA39" i="71" s="1"/>
  <c r="AA144" i="71" s="1"/>
  <c r="AB225" i="83"/>
  <c r="AB99" i="71" s="1"/>
  <c r="AB204" i="71" s="1"/>
  <c r="V196" i="83"/>
  <c r="V69" i="71" s="1"/>
  <c r="V174" i="71" s="1"/>
  <c r="P225" i="83"/>
  <c r="P99" i="71" s="1"/>
  <c r="P204" i="71" s="1"/>
  <c r="J167" i="83"/>
  <c r="J39" i="71" s="1"/>
  <c r="J144" i="71" s="1"/>
  <c r="X196" i="83"/>
  <c r="X69" i="71" s="1"/>
  <c r="X174" i="71" s="1"/>
  <c r="T225" i="83"/>
  <c r="T99" i="71" s="1"/>
  <c r="T204" i="71" s="1"/>
  <c r="T167" i="83"/>
  <c r="T39" i="71" s="1"/>
  <c r="T144" i="71" s="1"/>
  <c r="O196" i="83"/>
  <c r="O69" i="71" s="1"/>
  <c r="O174" i="71" s="1"/>
  <c r="P196" i="83"/>
  <c r="P69" i="71" s="1"/>
  <c r="P174" i="71" s="1"/>
  <c r="N225" i="83"/>
  <c r="N99" i="71" s="1"/>
  <c r="N204" i="71" s="1"/>
  <c r="V167" i="83"/>
  <c r="V39" i="71" s="1"/>
  <c r="V144" i="71" s="1"/>
  <c r="R196" i="83"/>
  <c r="R69" i="71" s="1"/>
  <c r="R174" i="71" s="1"/>
  <c r="P167" i="83"/>
  <c r="P39" i="71" s="1"/>
  <c r="P144" i="71" s="1"/>
  <c r="K138" i="83"/>
  <c r="K140" i="72" s="1"/>
  <c r="K210" i="72" s="1"/>
  <c r="K240" i="72" s="1"/>
  <c r="L167" i="83"/>
  <c r="L39" i="71" s="1"/>
  <c r="L144" i="71" s="1"/>
  <c r="T196" i="83"/>
  <c r="T69" i="71" s="1"/>
  <c r="T174" i="71" s="1"/>
  <c r="AA225" i="83"/>
  <c r="AA99" i="71" s="1"/>
  <c r="AA204" i="71" s="1"/>
  <c r="L138" i="83"/>
  <c r="L140" i="72" s="1"/>
  <c r="L210" i="72" s="1"/>
  <c r="L240" i="72" s="1"/>
  <c r="O167" i="83"/>
  <c r="O39" i="71" s="1"/>
  <c r="O144" i="71" s="1"/>
  <c r="W196" i="83"/>
  <c r="W69" i="71" s="1"/>
  <c r="W174" i="71" s="1"/>
  <c r="Z138" i="83"/>
  <c r="M138" i="83"/>
  <c r="M140" i="72" s="1"/>
  <c r="M210" i="72" s="1"/>
  <c r="M240" i="72" s="1"/>
  <c r="W167" i="83"/>
  <c r="W39" i="71" s="1"/>
  <c r="W144" i="71" s="1"/>
  <c r="Z196" i="83"/>
  <c r="Z69" i="71" s="1"/>
  <c r="Z174" i="71" s="1"/>
  <c r="X167" i="83"/>
  <c r="X39" i="71" s="1"/>
  <c r="X144" i="71" s="1"/>
  <c r="J138" i="83"/>
  <c r="J140" i="72" s="1"/>
  <c r="J210" i="72" s="1"/>
  <c r="J240" i="72" s="1"/>
  <c r="U167" i="83"/>
  <c r="U39" i="71" s="1"/>
  <c r="U144" i="71" s="1"/>
  <c r="AB196" i="83"/>
  <c r="AB69" i="71" s="1"/>
  <c r="AB174" i="71" s="1"/>
  <c r="Q196" i="83"/>
  <c r="Q69" i="71" s="1"/>
  <c r="Q174" i="71" s="1"/>
  <c r="S138" i="83"/>
  <c r="S140" i="72" s="1"/>
  <c r="S210" i="72" s="1"/>
  <c r="S240" i="72" s="1"/>
  <c r="S225" i="83"/>
  <c r="S99" i="71" s="1"/>
  <c r="S204" i="71" s="1"/>
  <c r="R138" i="83"/>
  <c r="R140" i="72" s="1"/>
  <c r="R210" i="72" s="1"/>
  <c r="R240" i="72" s="1"/>
  <c r="S196" i="83"/>
  <c r="S69" i="71" s="1"/>
  <c r="S174" i="71" s="1"/>
  <c r="T138" i="83"/>
  <c r="T140" i="72" s="1"/>
  <c r="T210" i="72" s="1"/>
  <c r="T240" i="72" s="1"/>
  <c r="M167" i="83"/>
  <c r="M39" i="71" s="1"/>
  <c r="M144" i="71" s="1"/>
  <c r="N138" i="83"/>
  <c r="N140" i="72" s="1"/>
  <c r="N210" i="72" s="1"/>
  <c r="N240" i="72" s="1"/>
  <c r="K167" i="83"/>
  <c r="K39" i="71" s="1"/>
  <c r="K144" i="71" s="1"/>
  <c r="X225" i="83"/>
  <c r="X99" i="71" s="1"/>
  <c r="X204" i="71" s="1"/>
  <c r="Y167" i="83"/>
  <c r="Y39" i="71" s="1"/>
  <c r="Y144" i="71" s="1"/>
  <c r="U225" i="83"/>
  <c r="U99" i="71" s="1"/>
  <c r="U204" i="71" s="1"/>
  <c r="R167" i="83"/>
  <c r="R39" i="71" s="1"/>
  <c r="R144" i="71" s="1"/>
  <c r="N167" i="83"/>
  <c r="N39" i="71" s="1"/>
  <c r="N144" i="71" s="1"/>
  <c r="M225" i="83"/>
  <c r="M99" i="71" s="1"/>
  <c r="M204" i="71" s="1"/>
  <c r="AB167" i="83"/>
  <c r="AB39" i="71" s="1"/>
  <c r="AB144" i="71" s="1"/>
  <c r="W225" i="83"/>
  <c r="W99" i="71" s="1"/>
  <c r="W204" i="71" s="1"/>
  <c r="N196" i="83"/>
  <c r="N69" i="71" s="1"/>
  <c r="N174" i="71" s="1"/>
  <c r="O138" i="83"/>
  <c r="O140" i="72" s="1"/>
  <c r="O210" i="72" s="1"/>
  <c r="O240" i="72" s="1"/>
  <c r="V225" i="83"/>
  <c r="V99" i="71" s="1"/>
  <c r="V204" i="71" s="1"/>
  <c r="P138" i="83"/>
  <c r="P140" i="72" s="1"/>
  <c r="P210" i="72" s="1"/>
  <c r="P240" i="72" s="1"/>
  <c r="R225" i="83"/>
  <c r="R99" i="71" s="1"/>
  <c r="R204" i="71" s="1"/>
  <c r="Y138" i="83"/>
  <c r="S167" i="83"/>
  <c r="S39" i="71" s="1"/>
  <c r="S144" i="71" s="1"/>
  <c r="N137" i="83"/>
  <c r="N139" i="72" s="1"/>
  <c r="N209" i="72" s="1"/>
  <c r="N239" i="72" s="1"/>
  <c r="U224" i="83"/>
  <c r="U98" i="71" s="1"/>
  <c r="U203" i="71" s="1"/>
  <c r="V224" i="83"/>
  <c r="V98" i="71" s="1"/>
  <c r="V203" i="71" s="1"/>
  <c r="AB137" i="83"/>
  <c r="O137" i="83"/>
  <c r="O139" i="72" s="1"/>
  <c r="O209" i="72" s="1"/>
  <c r="O239" i="72" s="1"/>
  <c r="P166" i="83"/>
  <c r="P38" i="71" s="1"/>
  <c r="P143" i="71" s="1"/>
  <c r="Z137" i="83"/>
  <c r="L137" i="83"/>
  <c r="L139" i="72" s="1"/>
  <c r="L209" i="72" s="1"/>
  <c r="L239" i="72" s="1"/>
  <c r="K166" i="83"/>
  <c r="K38" i="71" s="1"/>
  <c r="K143" i="71" s="1"/>
  <c r="T224" i="83"/>
  <c r="T98" i="71" s="1"/>
  <c r="T203" i="71" s="1"/>
  <c r="AB166" i="83"/>
  <c r="AB38" i="71" s="1"/>
  <c r="AB143" i="71" s="1"/>
  <c r="N166" i="83"/>
  <c r="N38" i="71" s="1"/>
  <c r="N143" i="71" s="1"/>
  <c r="Z195" i="83"/>
  <c r="Z68" i="71" s="1"/>
  <c r="Z173" i="71" s="1"/>
  <c r="J195" i="83"/>
  <c r="J68" i="71" s="1"/>
  <c r="J173" i="71" s="1"/>
  <c r="X137" i="83"/>
  <c r="AB195" i="83"/>
  <c r="AB68" i="71" s="1"/>
  <c r="AB173" i="71" s="1"/>
  <c r="X195" i="83"/>
  <c r="X68" i="71" s="1"/>
  <c r="X173" i="71" s="1"/>
  <c r="Y137" i="83"/>
  <c r="Y195" i="83"/>
  <c r="Y68" i="71" s="1"/>
  <c r="Y173" i="71" s="1"/>
  <c r="L195" i="83"/>
  <c r="L68" i="71" s="1"/>
  <c r="L173" i="71" s="1"/>
  <c r="AA166" i="83"/>
  <c r="AA38" i="71" s="1"/>
  <c r="AA143" i="71" s="1"/>
  <c r="S195" i="83"/>
  <c r="S68" i="71" s="1"/>
  <c r="S173" i="71" s="1"/>
  <c r="S137" i="83"/>
  <c r="S139" i="72" s="1"/>
  <c r="S209" i="72" s="1"/>
  <c r="S239" i="72" s="1"/>
  <c r="Q224" i="83"/>
  <c r="Q98" i="71" s="1"/>
  <c r="Q203" i="71" s="1"/>
  <c r="M195" i="83"/>
  <c r="M68" i="71" s="1"/>
  <c r="M173" i="71" s="1"/>
  <c r="T195" i="83"/>
  <c r="T68" i="71" s="1"/>
  <c r="T173" i="71" s="1"/>
  <c r="AA195" i="83"/>
  <c r="AA68" i="71" s="1"/>
  <c r="AA173" i="71" s="1"/>
  <c r="W137" i="83"/>
  <c r="V195" i="83"/>
  <c r="V68" i="71" s="1"/>
  <c r="V173" i="71" s="1"/>
  <c r="J166" i="83"/>
  <c r="J38" i="71" s="1"/>
  <c r="J143" i="71" s="1"/>
  <c r="U137" i="83"/>
  <c r="U195" i="83"/>
  <c r="U68" i="71" s="1"/>
  <c r="U173" i="71" s="1"/>
  <c r="Y166" i="83"/>
  <c r="Y38" i="71" s="1"/>
  <c r="Y143" i="71" s="1"/>
  <c r="J224" i="83"/>
  <c r="J98" i="71" s="1"/>
  <c r="J203" i="71" s="1"/>
  <c r="V137" i="83"/>
  <c r="O195" i="83"/>
  <c r="O68" i="71" s="1"/>
  <c r="O173" i="71" s="1"/>
  <c r="Z166" i="83"/>
  <c r="Z38" i="71" s="1"/>
  <c r="Z143" i="71" s="1"/>
  <c r="K224" i="83"/>
  <c r="K98" i="71" s="1"/>
  <c r="K203" i="71" s="1"/>
  <c r="X166" i="83"/>
  <c r="X38" i="71" s="1"/>
  <c r="X143" i="71" s="1"/>
  <c r="R137" i="83"/>
  <c r="R139" i="72" s="1"/>
  <c r="R209" i="72" s="1"/>
  <c r="R239" i="72" s="1"/>
  <c r="R224" i="83"/>
  <c r="R98" i="71" s="1"/>
  <c r="R203" i="71" s="1"/>
  <c r="S224" i="83"/>
  <c r="S98" i="71" s="1"/>
  <c r="S203" i="71" s="1"/>
  <c r="O224" i="83"/>
  <c r="O98" i="71" s="1"/>
  <c r="O203" i="71" s="1"/>
  <c r="U166" i="83"/>
  <c r="U38" i="71" s="1"/>
  <c r="U143" i="71" s="1"/>
  <c r="AA137" i="83"/>
  <c r="M224" i="83"/>
  <c r="M98" i="71" s="1"/>
  <c r="M203" i="71" s="1"/>
  <c r="P224" i="83"/>
  <c r="P98" i="71" s="1"/>
  <c r="P203" i="71" s="1"/>
  <c r="L166" i="83"/>
  <c r="L38" i="71" s="1"/>
  <c r="L143" i="71" s="1"/>
  <c r="P137" i="83"/>
  <c r="P139" i="72" s="1"/>
  <c r="P209" i="72" s="1"/>
  <c r="P239" i="72" s="1"/>
  <c r="T166" i="83"/>
  <c r="T38" i="71" s="1"/>
  <c r="T143" i="71" s="1"/>
  <c r="X224" i="83"/>
  <c r="X98" i="71" s="1"/>
  <c r="X203" i="71" s="1"/>
  <c r="T137" i="83"/>
  <c r="T139" i="72" s="1"/>
  <c r="T209" i="72" s="1"/>
  <c r="T239" i="72" s="1"/>
  <c r="K195" i="83"/>
  <c r="K68" i="71" s="1"/>
  <c r="K173" i="71" s="1"/>
  <c r="W195" i="83"/>
  <c r="W68" i="71" s="1"/>
  <c r="W173" i="71" s="1"/>
  <c r="N224" i="83"/>
  <c r="N98" i="71" s="1"/>
  <c r="N203" i="71" s="1"/>
  <c r="L224" i="83"/>
  <c r="L98" i="71" s="1"/>
  <c r="L203" i="71" s="1"/>
  <c r="Q137" i="83"/>
  <c r="Q139" i="72" s="1"/>
  <c r="Q209" i="72" s="1"/>
  <c r="Q239" i="72" s="1"/>
  <c r="Q166" i="83"/>
  <c r="Q38" i="71" s="1"/>
  <c r="Q143" i="71" s="1"/>
  <c r="S166" i="83"/>
  <c r="S38" i="71" s="1"/>
  <c r="S143" i="71" s="1"/>
  <c r="M137" i="83"/>
  <c r="M139" i="72" s="1"/>
  <c r="M209" i="72" s="1"/>
  <c r="M239" i="72" s="1"/>
  <c r="W166" i="83"/>
  <c r="W38" i="71" s="1"/>
  <c r="W143" i="71" s="1"/>
  <c r="Y224" i="83"/>
  <c r="Y98" i="71" s="1"/>
  <c r="Y203" i="71" s="1"/>
  <c r="J137" i="83"/>
  <c r="J139" i="72" s="1"/>
  <c r="J209" i="72" s="1"/>
  <c r="J239" i="72" s="1"/>
  <c r="AA224" i="83"/>
  <c r="AA98" i="71" s="1"/>
  <c r="AA203" i="71" s="1"/>
  <c r="N195" i="83"/>
  <c r="N68" i="71" s="1"/>
  <c r="N173" i="71" s="1"/>
  <c r="M166" i="83"/>
  <c r="M38" i="71" s="1"/>
  <c r="M143" i="71" s="1"/>
  <c r="P195" i="83"/>
  <c r="P68" i="71" s="1"/>
  <c r="P173" i="71" s="1"/>
  <c r="R195" i="83"/>
  <c r="R68" i="71" s="1"/>
  <c r="R173" i="71" s="1"/>
  <c r="K137" i="83"/>
  <c r="K139" i="72" s="1"/>
  <c r="K209" i="72" s="1"/>
  <c r="K239" i="72" s="1"/>
  <c r="Z224" i="83"/>
  <c r="Z98" i="71" s="1"/>
  <c r="Z203" i="71" s="1"/>
  <c r="V166" i="83"/>
  <c r="V38" i="71" s="1"/>
  <c r="V143" i="71" s="1"/>
  <c r="AB224" i="83"/>
  <c r="AB98" i="71" s="1"/>
  <c r="AB203" i="71" s="1"/>
  <c r="W224" i="83"/>
  <c r="W98" i="71" s="1"/>
  <c r="W203" i="71" s="1"/>
  <c r="O166" i="83"/>
  <c r="O38" i="71" s="1"/>
  <c r="O143" i="71" s="1"/>
  <c r="R166" i="83"/>
  <c r="R38" i="71" s="1"/>
  <c r="R143" i="71" s="1"/>
  <c r="Q195" i="83"/>
  <c r="Q68" i="71" s="1"/>
  <c r="Q173" i="71" s="1"/>
  <c r="W176" i="72"/>
  <c r="W211" i="72" s="1"/>
  <c r="W241" i="72" s="1"/>
  <c r="Z176" i="72"/>
  <c r="Z211" i="72" s="1"/>
  <c r="Z241" i="72" s="1"/>
  <c r="U176" i="72"/>
  <c r="U211" i="72" s="1"/>
  <c r="U241" i="72" s="1"/>
  <c r="V176" i="72"/>
  <c r="V211" i="72" s="1"/>
  <c r="V241" i="72" s="1"/>
  <c r="Y176" i="72"/>
  <c r="Y211" i="72" s="1"/>
  <c r="Y241" i="72" s="1"/>
  <c r="AB176" i="72"/>
  <c r="AB211" i="72" s="1"/>
  <c r="AB241" i="72" s="1"/>
  <c r="X176" i="72"/>
  <c r="X211" i="72" s="1"/>
  <c r="X241" i="72" s="1"/>
  <c r="AA176" i="72"/>
  <c r="AA211" i="72" s="1"/>
  <c r="AA241" i="72" s="1"/>
  <c r="Y180" i="72"/>
  <c r="Y215" i="72" s="1"/>
  <c r="Y245" i="72" s="1"/>
  <c r="X180" i="72"/>
  <c r="X215" i="72" s="1"/>
  <c r="X245" i="72" s="1"/>
  <c r="AA180" i="72"/>
  <c r="AA215" i="72" s="1"/>
  <c r="AA245" i="72" s="1"/>
  <c r="AB180" i="72"/>
  <c r="AB215" i="72" s="1"/>
  <c r="AB245" i="72" s="1"/>
  <c r="Z180" i="72"/>
  <c r="Z215" i="72" s="1"/>
  <c r="Z245" i="72" s="1"/>
  <c r="U180" i="72"/>
  <c r="U215" i="72" s="1"/>
  <c r="U245" i="72" s="1"/>
  <c r="W180" i="72"/>
  <c r="W215" i="72" s="1"/>
  <c r="W245" i="72" s="1"/>
  <c r="V180" i="72"/>
  <c r="V215" i="72" s="1"/>
  <c r="V245" i="72" s="1"/>
  <c r="V175" i="72"/>
  <c r="V210" i="72" s="1"/>
  <c r="V240" i="72" s="1"/>
  <c r="Z175" i="72"/>
  <c r="Z210" i="72" s="1"/>
  <c r="Z240" i="72" s="1"/>
  <c r="AB175" i="72"/>
  <c r="AB210" i="72" s="1"/>
  <c r="AB240" i="72" s="1"/>
  <c r="X175" i="72"/>
  <c r="X210" i="72" s="1"/>
  <c r="X240" i="72" s="1"/>
  <c r="W175" i="72"/>
  <c r="W210" i="72" s="1"/>
  <c r="W240" i="72" s="1"/>
  <c r="U175" i="72"/>
  <c r="U210" i="72" s="1"/>
  <c r="U240" i="72" s="1"/>
  <c r="Y175" i="72"/>
  <c r="Y210" i="72" s="1"/>
  <c r="Y240" i="72" s="1"/>
  <c r="AA175" i="72"/>
  <c r="AA210" i="72" s="1"/>
  <c r="AA240" i="72" s="1"/>
  <c r="O147" i="73"/>
  <c r="P147" i="73"/>
  <c r="N147" i="73"/>
  <c r="K147" i="73"/>
  <c r="T147" i="73"/>
  <c r="Q147" i="73"/>
  <c r="J147" i="73"/>
  <c r="R147" i="73"/>
  <c r="M147" i="73"/>
  <c r="K177" i="73"/>
  <c r="K237" i="73" s="1"/>
  <c r="T177" i="73"/>
  <c r="T237" i="73" s="1"/>
  <c r="O177" i="73"/>
  <c r="O237" i="73" s="1"/>
  <c r="P177" i="73"/>
  <c r="P237" i="73" s="1"/>
  <c r="R177" i="73"/>
  <c r="R237" i="73" s="1"/>
  <c r="L147" i="73"/>
  <c r="S147" i="73"/>
  <c r="L177" i="73"/>
  <c r="L237" i="73" s="1"/>
  <c r="J177" i="73"/>
  <c r="J237" i="73" s="1"/>
  <c r="N177" i="73"/>
  <c r="N237" i="73" s="1"/>
  <c r="M177" i="73"/>
  <c r="M237" i="73" s="1"/>
  <c r="S177" i="73"/>
  <c r="S237" i="73" s="1"/>
  <c r="Q177" i="73"/>
  <c r="Q237" i="73" s="1"/>
  <c r="T153" i="73"/>
  <c r="R153" i="73"/>
  <c r="K153" i="73"/>
  <c r="M153" i="73"/>
  <c r="N153" i="73"/>
  <c r="O153" i="73"/>
  <c r="S153" i="73"/>
  <c r="P153" i="73"/>
  <c r="P183" i="73"/>
  <c r="P243" i="73" s="1"/>
  <c r="K183" i="73"/>
  <c r="K243" i="73" s="1"/>
  <c r="M183" i="73"/>
  <c r="M243" i="73" s="1"/>
  <c r="L183" i="73"/>
  <c r="L243" i="73" s="1"/>
  <c r="S183" i="73"/>
  <c r="S243" i="73" s="1"/>
  <c r="R183" i="73"/>
  <c r="R243" i="73" s="1"/>
  <c r="J153" i="73"/>
  <c r="Q153" i="73"/>
  <c r="L153" i="73"/>
  <c r="O183" i="73"/>
  <c r="O243" i="73" s="1"/>
  <c r="N183" i="73"/>
  <c r="N243" i="73" s="1"/>
  <c r="J183" i="73"/>
  <c r="J243" i="73" s="1"/>
  <c r="T183" i="73"/>
  <c r="T243" i="73" s="1"/>
  <c r="Q183" i="73"/>
  <c r="Q243" i="73" s="1"/>
  <c r="J197" i="83"/>
  <c r="J70" i="71" s="1"/>
  <c r="J175" i="71" s="1"/>
  <c r="P226" i="83"/>
  <c r="P100" i="71" s="1"/>
  <c r="P205" i="71" s="1"/>
  <c r="T139" i="83"/>
  <c r="T141" i="72" s="1"/>
  <c r="T211" i="72" s="1"/>
  <c r="T241" i="72" s="1"/>
  <c r="AB139" i="83"/>
  <c r="Y197" i="83"/>
  <c r="Y70" i="71" s="1"/>
  <c r="Y175" i="71" s="1"/>
  <c r="K168" i="83"/>
  <c r="K40" i="71" s="1"/>
  <c r="K145" i="71" s="1"/>
  <c r="O197" i="83"/>
  <c r="O70" i="71" s="1"/>
  <c r="O175" i="71" s="1"/>
  <c r="K139" i="83"/>
  <c r="K141" i="72" s="1"/>
  <c r="K211" i="72" s="1"/>
  <c r="K241" i="72" s="1"/>
  <c r="AA168" i="83"/>
  <c r="AA40" i="71" s="1"/>
  <c r="AA145" i="71" s="1"/>
  <c r="O139" i="83"/>
  <c r="O141" i="72" s="1"/>
  <c r="O211" i="72" s="1"/>
  <c r="O241" i="72" s="1"/>
  <c r="AB197" i="83"/>
  <c r="AB70" i="71" s="1"/>
  <c r="AB175" i="71" s="1"/>
  <c r="L197" i="83"/>
  <c r="L70" i="71" s="1"/>
  <c r="L175" i="71" s="1"/>
  <c r="X168" i="83"/>
  <c r="X40" i="71" s="1"/>
  <c r="X145" i="71" s="1"/>
  <c r="W197" i="83"/>
  <c r="W70" i="71" s="1"/>
  <c r="W175" i="71" s="1"/>
  <c r="Z139" i="83"/>
  <c r="N197" i="83"/>
  <c r="N70" i="71" s="1"/>
  <c r="N175" i="71" s="1"/>
  <c r="W226" i="83"/>
  <c r="W100" i="71" s="1"/>
  <c r="W205" i="71" s="1"/>
  <c r="N168" i="83"/>
  <c r="N40" i="71" s="1"/>
  <c r="N145" i="71" s="1"/>
  <c r="J139" i="83"/>
  <c r="J141" i="72" s="1"/>
  <c r="J211" i="72" s="1"/>
  <c r="J241" i="72" s="1"/>
  <c r="Y168" i="83"/>
  <c r="Y40" i="71" s="1"/>
  <c r="Y145" i="71" s="1"/>
  <c r="R197" i="83"/>
  <c r="R70" i="71" s="1"/>
  <c r="R175" i="71" s="1"/>
  <c r="S139" i="83"/>
  <c r="S141" i="72" s="1"/>
  <c r="S211" i="72" s="1"/>
  <c r="S241" i="72" s="1"/>
  <c r="Q197" i="83"/>
  <c r="Q70" i="71" s="1"/>
  <c r="Q175" i="71" s="1"/>
  <c r="M226" i="83"/>
  <c r="M100" i="71" s="1"/>
  <c r="M205" i="71" s="1"/>
  <c r="P139" i="83"/>
  <c r="P141" i="72" s="1"/>
  <c r="P211" i="72" s="1"/>
  <c r="P241" i="72" s="1"/>
  <c r="T168" i="83"/>
  <c r="T40" i="71" s="1"/>
  <c r="T145" i="71" s="1"/>
  <c r="N226" i="83"/>
  <c r="N100" i="71" s="1"/>
  <c r="N205" i="71" s="1"/>
  <c r="AA197" i="83"/>
  <c r="AA70" i="71" s="1"/>
  <c r="AA175" i="71" s="1"/>
  <c r="O226" i="83"/>
  <c r="O100" i="71" s="1"/>
  <c r="O205" i="71" s="1"/>
  <c r="V197" i="83"/>
  <c r="V70" i="71" s="1"/>
  <c r="V175" i="71" s="1"/>
  <c r="L139" i="83"/>
  <c r="L141" i="72" s="1"/>
  <c r="L211" i="72" s="1"/>
  <c r="L241" i="72" s="1"/>
  <c r="W168" i="83"/>
  <c r="W40" i="71" s="1"/>
  <c r="W145" i="71" s="1"/>
  <c r="K226" i="83"/>
  <c r="K100" i="71" s="1"/>
  <c r="K205" i="71" s="1"/>
  <c r="U168" i="83"/>
  <c r="U40" i="71" s="1"/>
  <c r="U145" i="71" s="1"/>
  <c r="X197" i="83"/>
  <c r="X70" i="71" s="1"/>
  <c r="X175" i="71" s="1"/>
  <c r="X226" i="83"/>
  <c r="X100" i="71" s="1"/>
  <c r="X205" i="71" s="1"/>
  <c r="Y226" i="83"/>
  <c r="Y100" i="71" s="1"/>
  <c r="Y205" i="71" s="1"/>
  <c r="R168" i="83"/>
  <c r="R40" i="71" s="1"/>
  <c r="R145" i="71" s="1"/>
  <c r="Q139" i="83"/>
  <c r="Q141" i="72" s="1"/>
  <c r="Q211" i="72" s="1"/>
  <c r="Q241" i="72" s="1"/>
  <c r="R226" i="83"/>
  <c r="R100" i="71" s="1"/>
  <c r="R205" i="71" s="1"/>
  <c r="Q168" i="83"/>
  <c r="Q40" i="71" s="1"/>
  <c r="Q145" i="71" s="1"/>
  <c r="W139" i="83"/>
  <c r="J226" i="83"/>
  <c r="J100" i="71" s="1"/>
  <c r="J205" i="71" s="1"/>
  <c r="M168" i="83"/>
  <c r="M40" i="71" s="1"/>
  <c r="M145" i="71" s="1"/>
  <c r="N139" i="83"/>
  <c r="N141" i="72" s="1"/>
  <c r="N211" i="72" s="1"/>
  <c r="N241" i="72" s="1"/>
  <c r="U139" i="83"/>
  <c r="Z168" i="83"/>
  <c r="Z40" i="71" s="1"/>
  <c r="Z145" i="71" s="1"/>
  <c r="P168" i="83"/>
  <c r="P40" i="71" s="1"/>
  <c r="P145" i="71" s="1"/>
  <c r="V168" i="83"/>
  <c r="V40" i="71" s="1"/>
  <c r="V145" i="71" s="1"/>
  <c r="V139" i="83"/>
  <c r="Y139" i="83"/>
  <c r="T197" i="83"/>
  <c r="T70" i="71" s="1"/>
  <c r="T175" i="71" s="1"/>
  <c r="T226" i="83"/>
  <c r="T100" i="71" s="1"/>
  <c r="T205" i="71" s="1"/>
  <c r="AA226" i="83"/>
  <c r="AA100" i="71" s="1"/>
  <c r="AA205" i="71" s="1"/>
  <c r="U226" i="83"/>
  <c r="U100" i="71" s="1"/>
  <c r="U205" i="71" s="1"/>
  <c r="Z226" i="83"/>
  <c r="Z100" i="71" s="1"/>
  <c r="Z205" i="71" s="1"/>
  <c r="O168" i="83"/>
  <c r="O40" i="71" s="1"/>
  <c r="O145" i="71" s="1"/>
  <c r="U197" i="83"/>
  <c r="U70" i="71" s="1"/>
  <c r="U175" i="71" s="1"/>
  <c r="S168" i="83"/>
  <c r="S40" i="71" s="1"/>
  <c r="S145" i="71" s="1"/>
  <c r="Q226" i="83"/>
  <c r="Q100" i="71" s="1"/>
  <c r="Q205" i="71" s="1"/>
  <c r="AA139" i="83"/>
  <c r="S197" i="83"/>
  <c r="S70" i="71" s="1"/>
  <c r="S175" i="71" s="1"/>
  <c r="AB168" i="83"/>
  <c r="AB40" i="71" s="1"/>
  <c r="AB145" i="71" s="1"/>
  <c r="V226" i="83"/>
  <c r="V100" i="71" s="1"/>
  <c r="V205" i="71" s="1"/>
  <c r="J168" i="83"/>
  <c r="J40" i="71" s="1"/>
  <c r="J145" i="71" s="1"/>
  <c r="M139" i="83"/>
  <c r="M141" i="72" s="1"/>
  <c r="M211" i="72" s="1"/>
  <c r="M241" i="72" s="1"/>
  <c r="L168" i="83"/>
  <c r="L40" i="71" s="1"/>
  <c r="L145" i="71" s="1"/>
  <c r="Z197" i="83"/>
  <c r="Z70" i="71" s="1"/>
  <c r="Z175" i="71" s="1"/>
  <c r="L226" i="83"/>
  <c r="L100" i="71" s="1"/>
  <c r="L205" i="71" s="1"/>
  <c r="R139" i="83"/>
  <c r="R141" i="72" s="1"/>
  <c r="R211" i="72" s="1"/>
  <c r="R241" i="72" s="1"/>
  <c r="X139" i="83"/>
  <c r="K197" i="83"/>
  <c r="K70" i="71" s="1"/>
  <c r="K175" i="71" s="1"/>
  <c r="S226" i="83"/>
  <c r="S100" i="71" s="1"/>
  <c r="S205" i="71" s="1"/>
  <c r="P197" i="83"/>
  <c r="P70" i="71" s="1"/>
  <c r="P175" i="71" s="1"/>
  <c r="M197" i="83"/>
  <c r="M70" i="71" s="1"/>
  <c r="M175" i="71" s="1"/>
  <c r="AB226" i="83"/>
  <c r="AB100" i="71" s="1"/>
  <c r="AB205" i="71" s="1"/>
  <c r="U228" i="83"/>
  <c r="U102" i="71" s="1"/>
  <c r="U207" i="71" s="1"/>
  <c r="O170" i="83"/>
  <c r="O42" i="71" s="1"/>
  <c r="O147" i="71" s="1"/>
  <c r="V141" i="83"/>
  <c r="Y141" i="83"/>
  <c r="AB199" i="83"/>
  <c r="AB72" i="71" s="1"/>
  <c r="AB177" i="71" s="1"/>
  <c r="T228" i="83"/>
  <c r="T102" i="71" s="1"/>
  <c r="T207" i="71" s="1"/>
  <c r="AB170" i="83"/>
  <c r="AB42" i="71" s="1"/>
  <c r="AB147" i="71" s="1"/>
  <c r="Z141" i="83"/>
  <c r="Y199" i="83"/>
  <c r="Y72" i="71" s="1"/>
  <c r="Y177" i="71" s="1"/>
  <c r="W228" i="83"/>
  <c r="W102" i="71" s="1"/>
  <c r="W207" i="71" s="1"/>
  <c r="J141" i="83"/>
  <c r="J143" i="72" s="1"/>
  <c r="J213" i="72" s="1"/>
  <c r="J243" i="72" s="1"/>
  <c r="AA199" i="83"/>
  <c r="AA72" i="71" s="1"/>
  <c r="AA177" i="71" s="1"/>
  <c r="AB141" i="83"/>
  <c r="X141" i="83"/>
  <c r="J199" i="83"/>
  <c r="J72" i="71" s="1"/>
  <c r="J177" i="71" s="1"/>
  <c r="Z199" i="83"/>
  <c r="Z72" i="71" s="1"/>
  <c r="Z177" i="71" s="1"/>
  <c r="M199" i="83"/>
  <c r="M72" i="71" s="1"/>
  <c r="M177" i="71" s="1"/>
  <c r="U141" i="83"/>
  <c r="N228" i="83"/>
  <c r="N102" i="71" s="1"/>
  <c r="N207" i="71" s="1"/>
  <c r="W141" i="83"/>
  <c r="O141" i="83"/>
  <c r="O143" i="72" s="1"/>
  <c r="O213" i="72" s="1"/>
  <c r="O243" i="72" s="1"/>
  <c r="N199" i="83"/>
  <c r="N72" i="71" s="1"/>
  <c r="N177" i="71" s="1"/>
  <c r="U199" i="83"/>
  <c r="U72" i="71" s="1"/>
  <c r="U177" i="71" s="1"/>
  <c r="X170" i="83"/>
  <c r="X42" i="71" s="1"/>
  <c r="X147" i="71" s="1"/>
  <c r="K199" i="83"/>
  <c r="K72" i="71" s="1"/>
  <c r="K177" i="71" s="1"/>
  <c r="P228" i="83"/>
  <c r="P102" i="71" s="1"/>
  <c r="P207" i="71" s="1"/>
  <c r="K228" i="83"/>
  <c r="K102" i="71" s="1"/>
  <c r="K207" i="71" s="1"/>
  <c r="Y170" i="83"/>
  <c r="Y42" i="71" s="1"/>
  <c r="Y147" i="71" s="1"/>
  <c r="L199" i="83"/>
  <c r="L72" i="71" s="1"/>
  <c r="L177" i="71" s="1"/>
  <c r="Y228" i="83"/>
  <c r="Y102" i="71" s="1"/>
  <c r="Y207" i="71" s="1"/>
  <c r="P199" i="83"/>
  <c r="P72" i="71" s="1"/>
  <c r="P177" i="71" s="1"/>
  <c r="W199" i="83"/>
  <c r="W72" i="71" s="1"/>
  <c r="W177" i="71" s="1"/>
  <c r="P170" i="83"/>
  <c r="P42" i="71" s="1"/>
  <c r="P147" i="71" s="1"/>
  <c r="Z170" i="83"/>
  <c r="Z42" i="71" s="1"/>
  <c r="Z147" i="71" s="1"/>
  <c r="R170" i="83"/>
  <c r="R42" i="71" s="1"/>
  <c r="R147" i="71" s="1"/>
  <c r="S141" i="83"/>
  <c r="S143" i="72" s="1"/>
  <c r="S213" i="72" s="1"/>
  <c r="S243" i="72" s="1"/>
  <c r="R199" i="83"/>
  <c r="R72" i="71" s="1"/>
  <c r="R177" i="71" s="1"/>
  <c r="N141" i="83"/>
  <c r="N143" i="72" s="1"/>
  <c r="N213" i="72" s="1"/>
  <c r="N243" i="72" s="1"/>
  <c r="X199" i="83"/>
  <c r="X72" i="71" s="1"/>
  <c r="X177" i="71" s="1"/>
  <c r="U170" i="83"/>
  <c r="U42" i="71" s="1"/>
  <c r="U147" i="71" s="1"/>
  <c r="N170" i="83"/>
  <c r="N42" i="71" s="1"/>
  <c r="N147" i="71" s="1"/>
  <c r="K170" i="83"/>
  <c r="K42" i="71" s="1"/>
  <c r="K147" i="71" s="1"/>
  <c r="V228" i="83"/>
  <c r="V102" i="71" s="1"/>
  <c r="V207" i="71" s="1"/>
  <c r="M170" i="83"/>
  <c r="M42" i="71" s="1"/>
  <c r="M147" i="71" s="1"/>
  <c r="AB228" i="83"/>
  <c r="AB102" i="71" s="1"/>
  <c r="AB207" i="71" s="1"/>
  <c r="AA228" i="83"/>
  <c r="AA102" i="71" s="1"/>
  <c r="AA207" i="71" s="1"/>
  <c r="V170" i="83"/>
  <c r="V42" i="71" s="1"/>
  <c r="V147" i="71" s="1"/>
  <c r="J228" i="83"/>
  <c r="J102" i="71" s="1"/>
  <c r="J207" i="71" s="1"/>
  <c r="O228" i="83"/>
  <c r="O102" i="71" s="1"/>
  <c r="O207" i="71" s="1"/>
  <c r="S199" i="83"/>
  <c r="S72" i="71" s="1"/>
  <c r="S177" i="71" s="1"/>
  <c r="S170" i="83"/>
  <c r="S42" i="71" s="1"/>
  <c r="S147" i="71" s="1"/>
  <c r="Q141" i="83"/>
  <c r="Q143" i="72" s="1"/>
  <c r="Q213" i="72" s="1"/>
  <c r="Q243" i="72" s="1"/>
  <c r="R228" i="83"/>
  <c r="R102" i="71" s="1"/>
  <c r="R207" i="71" s="1"/>
  <c r="X228" i="83"/>
  <c r="X102" i="71" s="1"/>
  <c r="X207" i="71" s="1"/>
  <c r="T141" i="83"/>
  <c r="T143" i="72" s="1"/>
  <c r="T213" i="72" s="1"/>
  <c r="T243" i="72" s="1"/>
  <c r="AA141" i="83"/>
  <c r="L141" i="83"/>
  <c r="L143" i="72" s="1"/>
  <c r="L213" i="72" s="1"/>
  <c r="L243" i="72" s="1"/>
  <c r="P141" i="83"/>
  <c r="P143" i="72" s="1"/>
  <c r="P213" i="72" s="1"/>
  <c r="P243" i="72" s="1"/>
  <c r="J170" i="83"/>
  <c r="J42" i="71" s="1"/>
  <c r="J147" i="71" s="1"/>
  <c r="M141" i="83"/>
  <c r="M143" i="72" s="1"/>
  <c r="M213" i="72" s="1"/>
  <c r="M243" i="72" s="1"/>
  <c r="V199" i="83"/>
  <c r="V72" i="71" s="1"/>
  <c r="V177" i="71" s="1"/>
  <c r="L228" i="83"/>
  <c r="L102" i="71" s="1"/>
  <c r="L207" i="71" s="1"/>
  <c r="Q228" i="83"/>
  <c r="Q102" i="71" s="1"/>
  <c r="Q207" i="71" s="1"/>
  <c r="R141" i="83"/>
  <c r="R143" i="72" s="1"/>
  <c r="R213" i="72" s="1"/>
  <c r="R243" i="72" s="1"/>
  <c r="Z228" i="83"/>
  <c r="Z102" i="71" s="1"/>
  <c r="Z207" i="71" s="1"/>
  <c r="T199" i="83"/>
  <c r="T72" i="71" s="1"/>
  <c r="T177" i="71" s="1"/>
  <c r="W170" i="83"/>
  <c r="W42" i="71" s="1"/>
  <c r="W147" i="71" s="1"/>
  <c r="T170" i="83"/>
  <c r="T42" i="71" s="1"/>
  <c r="T147" i="71" s="1"/>
  <c r="L170" i="83"/>
  <c r="L42" i="71" s="1"/>
  <c r="L147" i="71" s="1"/>
  <c r="K141" i="83"/>
  <c r="K143" i="72" s="1"/>
  <c r="K213" i="72" s="1"/>
  <c r="K243" i="72" s="1"/>
  <c r="S228" i="83"/>
  <c r="S102" i="71" s="1"/>
  <c r="S207" i="71" s="1"/>
  <c r="O199" i="83"/>
  <c r="O72" i="71" s="1"/>
  <c r="O177" i="71" s="1"/>
  <c r="AA170" i="83"/>
  <c r="AA42" i="71" s="1"/>
  <c r="AA147" i="71" s="1"/>
  <c r="Q170" i="83"/>
  <c r="Q42" i="71" s="1"/>
  <c r="Q147" i="71" s="1"/>
  <c r="M228" i="83"/>
  <c r="M102" i="71" s="1"/>
  <c r="M207" i="71" s="1"/>
  <c r="Q199" i="83"/>
  <c r="Q72" i="71" s="1"/>
  <c r="Q177" i="71" s="1"/>
  <c r="N227" i="83"/>
  <c r="N101" i="71" s="1"/>
  <c r="N206" i="71" s="1"/>
  <c r="J140" i="83"/>
  <c r="J142" i="72" s="1"/>
  <c r="J212" i="72" s="1"/>
  <c r="J242" i="72" s="1"/>
  <c r="L227" i="83"/>
  <c r="L101" i="71" s="1"/>
  <c r="L206" i="71" s="1"/>
  <c r="O227" i="83"/>
  <c r="O101" i="71" s="1"/>
  <c r="O206" i="71" s="1"/>
  <c r="P227" i="83"/>
  <c r="P101" i="71" s="1"/>
  <c r="P206" i="71" s="1"/>
  <c r="O198" i="83"/>
  <c r="O71" i="71" s="1"/>
  <c r="O176" i="71" s="1"/>
  <c r="K169" i="83"/>
  <c r="K41" i="71" s="1"/>
  <c r="K146" i="71" s="1"/>
  <c r="V227" i="83"/>
  <c r="V101" i="71" s="1"/>
  <c r="V206" i="71" s="1"/>
  <c r="O169" i="83"/>
  <c r="O41" i="71" s="1"/>
  <c r="O146" i="71" s="1"/>
  <c r="T169" i="83"/>
  <c r="T41" i="71" s="1"/>
  <c r="T146" i="71" s="1"/>
  <c r="M198" i="83"/>
  <c r="M71" i="71" s="1"/>
  <c r="M176" i="71" s="1"/>
  <c r="Q169" i="83"/>
  <c r="Q41" i="71" s="1"/>
  <c r="Q146" i="71" s="1"/>
  <c r="Q198" i="83"/>
  <c r="Q71" i="71" s="1"/>
  <c r="Q176" i="71" s="1"/>
  <c r="W227" i="83"/>
  <c r="W101" i="71" s="1"/>
  <c r="W206" i="71" s="1"/>
  <c r="Z169" i="83"/>
  <c r="Z41" i="71" s="1"/>
  <c r="Z146" i="71" s="1"/>
  <c r="AB140" i="83"/>
  <c r="X140" i="83"/>
  <c r="J198" i="83"/>
  <c r="J71" i="71" s="1"/>
  <c r="J176" i="71" s="1"/>
  <c r="AB227" i="83"/>
  <c r="AB101" i="71" s="1"/>
  <c r="AB206" i="71" s="1"/>
  <c r="L198" i="83"/>
  <c r="L71" i="71" s="1"/>
  <c r="L176" i="71" s="1"/>
  <c r="AA140" i="83"/>
  <c r="M169" i="83"/>
  <c r="M41" i="71" s="1"/>
  <c r="M146" i="71" s="1"/>
  <c r="V140" i="83"/>
  <c r="Y140" i="83"/>
  <c r="AB198" i="83"/>
  <c r="AB71" i="71" s="1"/>
  <c r="AB176" i="71" s="1"/>
  <c r="T227" i="83"/>
  <c r="T101" i="71" s="1"/>
  <c r="T206" i="71" s="1"/>
  <c r="L169" i="83"/>
  <c r="L41" i="71" s="1"/>
  <c r="L146" i="71" s="1"/>
  <c r="Z198" i="83"/>
  <c r="Z71" i="71" s="1"/>
  <c r="Z176" i="71" s="1"/>
  <c r="S198" i="83"/>
  <c r="S71" i="71" s="1"/>
  <c r="S176" i="71" s="1"/>
  <c r="R140" i="83"/>
  <c r="R142" i="72" s="1"/>
  <c r="R212" i="72" s="1"/>
  <c r="R242" i="72" s="1"/>
  <c r="S169" i="83"/>
  <c r="S41" i="71" s="1"/>
  <c r="S146" i="71" s="1"/>
  <c r="Y198" i="83"/>
  <c r="Y71" i="71" s="1"/>
  <c r="Y176" i="71" s="1"/>
  <c r="Z227" i="83"/>
  <c r="Z101" i="71" s="1"/>
  <c r="Z206" i="71" s="1"/>
  <c r="N140" i="83"/>
  <c r="N142" i="72" s="1"/>
  <c r="N212" i="72" s="1"/>
  <c r="N242" i="72" s="1"/>
  <c r="U140" i="83"/>
  <c r="K140" i="83"/>
  <c r="K142" i="72" s="1"/>
  <c r="K212" i="72" s="1"/>
  <c r="K242" i="72" s="1"/>
  <c r="P198" i="83"/>
  <c r="P71" i="71" s="1"/>
  <c r="P176" i="71" s="1"/>
  <c r="W198" i="83"/>
  <c r="W71" i="71" s="1"/>
  <c r="W176" i="71" s="1"/>
  <c r="P169" i="83"/>
  <c r="P41" i="71" s="1"/>
  <c r="P146" i="71" s="1"/>
  <c r="AA198" i="83"/>
  <c r="AA71" i="71" s="1"/>
  <c r="AA176" i="71" s="1"/>
  <c r="AA227" i="83"/>
  <c r="AA101" i="71" s="1"/>
  <c r="AA206" i="71" s="1"/>
  <c r="U169" i="83"/>
  <c r="U41" i="71" s="1"/>
  <c r="U146" i="71" s="1"/>
  <c r="Y227" i="83"/>
  <c r="Y101" i="71" s="1"/>
  <c r="Y206" i="71" s="1"/>
  <c r="W140" i="83"/>
  <c r="O140" i="83"/>
  <c r="O142" i="72" s="1"/>
  <c r="O212" i="72" s="1"/>
  <c r="O242" i="72" s="1"/>
  <c r="N198" i="83"/>
  <c r="N71" i="71" s="1"/>
  <c r="N176" i="71" s="1"/>
  <c r="U198" i="83"/>
  <c r="U71" i="71" s="1"/>
  <c r="U176" i="71" s="1"/>
  <c r="X169" i="83"/>
  <c r="X41" i="71" s="1"/>
  <c r="X146" i="71" s="1"/>
  <c r="K198" i="83"/>
  <c r="K71" i="71" s="1"/>
  <c r="K176" i="71" s="1"/>
  <c r="Y169" i="83"/>
  <c r="Y41" i="71" s="1"/>
  <c r="Y146" i="71" s="1"/>
  <c r="Z140" i="83"/>
  <c r="X227" i="83"/>
  <c r="X101" i="71" s="1"/>
  <c r="X206" i="71" s="1"/>
  <c r="S140" i="83"/>
  <c r="S142" i="72" s="1"/>
  <c r="S212" i="72" s="1"/>
  <c r="S242" i="72" s="1"/>
  <c r="R227" i="83"/>
  <c r="R101" i="71" s="1"/>
  <c r="R206" i="71" s="1"/>
  <c r="Q227" i="83"/>
  <c r="Q101" i="71" s="1"/>
  <c r="Q206" i="71" s="1"/>
  <c r="J169" i="83"/>
  <c r="J41" i="71" s="1"/>
  <c r="J146" i="71" s="1"/>
  <c r="AA169" i="83"/>
  <c r="AA41" i="71" s="1"/>
  <c r="AA146" i="71" s="1"/>
  <c r="J227" i="83"/>
  <c r="J101" i="71" s="1"/>
  <c r="J206" i="71" s="1"/>
  <c r="X198" i="83"/>
  <c r="X71" i="71" s="1"/>
  <c r="X176" i="71" s="1"/>
  <c r="L140" i="83"/>
  <c r="L142" i="72" s="1"/>
  <c r="L212" i="72" s="1"/>
  <c r="L242" i="72" s="1"/>
  <c r="AB169" i="83"/>
  <c r="AB41" i="71" s="1"/>
  <c r="AB146" i="71" s="1"/>
  <c r="M140" i="83"/>
  <c r="M142" i="72" s="1"/>
  <c r="M212" i="72" s="1"/>
  <c r="M242" i="72" s="1"/>
  <c r="R198" i="83"/>
  <c r="R71" i="71" s="1"/>
  <c r="R176" i="71" s="1"/>
  <c r="R169" i="83"/>
  <c r="R41" i="71" s="1"/>
  <c r="R146" i="71" s="1"/>
  <c r="Q140" i="83"/>
  <c r="Q142" i="72" s="1"/>
  <c r="Q212" i="72" s="1"/>
  <c r="Q242" i="72" s="1"/>
  <c r="P140" i="83"/>
  <c r="P142" i="72" s="1"/>
  <c r="P212" i="72" s="1"/>
  <c r="P242" i="72" s="1"/>
  <c r="U227" i="83"/>
  <c r="U101" i="71" s="1"/>
  <c r="U206" i="71" s="1"/>
  <c r="M227" i="83"/>
  <c r="M101" i="71" s="1"/>
  <c r="M206" i="71" s="1"/>
  <c r="T140" i="83"/>
  <c r="T142" i="72" s="1"/>
  <c r="T212" i="72" s="1"/>
  <c r="T242" i="72" s="1"/>
  <c r="K227" i="83"/>
  <c r="K101" i="71" s="1"/>
  <c r="K206" i="71" s="1"/>
  <c r="V198" i="83"/>
  <c r="V71" i="71" s="1"/>
  <c r="V176" i="71" s="1"/>
  <c r="W169" i="83"/>
  <c r="W41" i="71" s="1"/>
  <c r="W146" i="71" s="1"/>
  <c r="N169" i="83"/>
  <c r="N41" i="71" s="1"/>
  <c r="N146" i="71" s="1"/>
  <c r="S227" i="83"/>
  <c r="S101" i="71" s="1"/>
  <c r="S206" i="71" s="1"/>
  <c r="T198" i="83"/>
  <c r="T71" i="71" s="1"/>
  <c r="T176" i="71" s="1"/>
  <c r="V169" i="83"/>
  <c r="V41" i="71" s="1"/>
  <c r="V146" i="71" s="1"/>
  <c r="N257" i="73" l="1"/>
  <c r="N25" i="41" s="1"/>
  <c r="N25" i="65" s="1"/>
  <c r="N95" i="65" s="1"/>
  <c r="R283" i="73"/>
  <c r="R46" i="74" s="1"/>
  <c r="R91" i="74" s="1"/>
  <c r="R213" i="73"/>
  <c r="S277" i="73"/>
  <c r="S40" i="74" s="1"/>
  <c r="S85" i="74" s="1"/>
  <c r="S207" i="73"/>
  <c r="K207" i="73"/>
  <c r="K277" i="73"/>
  <c r="K40" i="74" s="1"/>
  <c r="K85" i="74" s="1"/>
  <c r="T279" i="73"/>
  <c r="T42" i="74" s="1"/>
  <c r="T87" i="74" s="1"/>
  <c r="T209" i="73"/>
  <c r="R209" i="73"/>
  <c r="R279" i="73"/>
  <c r="R42" i="74" s="1"/>
  <c r="R87" i="74" s="1"/>
  <c r="J214" i="73"/>
  <c r="J284" i="73"/>
  <c r="J47" i="74" s="1"/>
  <c r="J92" i="74" s="1"/>
  <c r="N280" i="73"/>
  <c r="N43" i="74" s="1"/>
  <c r="N88" i="74" s="1"/>
  <c r="N210" i="73"/>
  <c r="J280" i="73"/>
  <c r="J43" i="74" s="1"/>
  <c r="J88" i="74" s="1"/>
  <c r="J210" i="73"/>
  <c r="K206" i="73"/>
  <c r="K276" i="73"/>
  <c r="K39" i="74" s="1"/>
  <c r="K84" i="74" s="1"/>
  <c r="J281" i="73"/>
  <c r="J44" i="74" s="1"/>
  <c r="J89" i="74" s="1"/>
  <c r="J211" i="73"/>
  <c r="N283" i="73"/>
  <c r="N46" i="74" s="1"/>
  <c r="N91" i="74" s="1"/>
  <c r="N213" i="73"/>
  <c r="L277" i="73"/>
  <c r="L40" i="74" s="1"/>
  <c r="L85" i="74" s="1"/>
  <c r="L207" i="73"/>
  <c r="N277" i="73"/>
  <c r="N40" i="74" s="1"/>
  <c r="N85" i="74" s="1"/>
  <c r="N207" i="73"/>
  <c r="K209" i="73"/>
  <c r="K279" i="73"/>
  <c r="K42" i="74" s="1"/>
  <c r="K87" i="74" s="1"/>
  <c r="O209" i="73"/>
  <c r="O279" i="73"/>
  <c r="O42" i="74" s="1"/>
  <c r="O87" i="74" s="1"/>
  <c r="P214" i="73"/>
  <c r="P284" i="73"/>
  <c r="P47" i="74" s="1"/>
  <c r="P92" i="74" s="1"/>
  <c r="Q210" i="73"/>
  <c r="Q280" i="73"/>
  <c r="Q43" i="74" s="1"/>
  <c r="Q88" i="74" s="1"/>
  <c r="M210" i="73"/>
  <c r="M280" i="73"/>
  <c r="M43" i="74" s="1"/>
  <c r="M88" i="74" s="1"/>
  <c r="H237" i="83" a="1"/>
  <c r="H237" i="83" s="1"/>
  <c r="R218" i="71"/>
  <c r="R21" i="41" s="1"/>
  <c r="Q218" i="71"/>
  <c r="Q21" i="41" s="1"/>
  <c r="R219" i="71"/>
  <c r="R22" i="41" s="1"/>
  <c r="U36" i="71"/>
  <c r="U141" i="71" s="1"/>
  <c r="U217" i="71" s="1"/>
  <c r="U20" i="41" s="1"/>
  <c r="U239" i="83"/>
  <c r="P36" i="71"/>
  <c r="P141" i="71" s="1"/>
  <c r="P217" i="71" s="1"/>
  <c r="P20" i="41" s="1"/>
  <c r="P239" i="83"/>
  <c r="X36" i="71"/>
  <c r="X141" i="71" s="1"/>
  <c r="X217" i="71" s="1"/>
  <c r="X20" i="41" s="1"/>
  <c r="X239" i="83"/>
  <c r="V36" i="71"/>
  <c r="V141" i="71" s="1"/>
  <c r="V217" i="71" s="1"/>
  <c r="V20" i="41" s="1"/>
  <c r="V239" i="83"/>
  <c r="T218" i="71"/>
  <c r="T21" i="41" s="1"/>
  <c r="AA36" i="71"/>
  <c r="AA141" i="71" s="1"/>
  <c r="AA217" i="71" s="1"/>
  <c r="AA20" i="41" s="1"/>
  <c r="AA239" i="83"/>
  <c r="S219" i="71"/>
  <c r="S22" i="41" s="1"/>
  <c r="X218" i="71"/>
  <c r="X21" i="41" s="1"/>
  <c r="AA219" i="71"/>
  <c r="AA22" i="41" s="1"/>
  <c r="Z219" i="71"/>
  <c r="Z22" i="41" s="1"/>
  <c r="M218" i="71"/>
  <c r="M21" i="41" s="1"/>
  <c r="N250" i="72"/>
  <c r="N26" i="41" s="1"/>
  <c r="K218" i="71"/>
  <c r="K21" i="41" s="1"/>
  <c r="O250" i="72"/>
  <c r="O26" i="41" s="1"/>
  <c r="Q285" i="73"/>
  <c r="Q48" i="74" s="1"/>
  <c r="Q93" i="74" s="1"/>
  <c r="Q215" i="73"/>
  <c r="M285" i="73"/>
  <c r="M48" i="74" s="1"/>
  <c r="M93" i="74" s="1"/>
  <c r="M215" i="73"/>
  <c r="O285" i="73"/>
  <c r="O48" i="74" s="1"/>
  <c r="O93" i="74" s="1"/>
  <c r="O215" i="73"/>
  <c r="P278" i="73"/>
  <c r="P41" i="74" s="1"/>
  <c r="P86" i="74" s="1"/>
  <c r="P208" i="73"/>
  <c r="S278" i="73"/>
  <c r="S41" i="74" s="1"/>
  <c r="S86" i="74" s="1"/>
  <c r="S208" i="73"/>
  <c r="S212" i="73"/>
  <c r="S282" i="73"/>
  <c r="S45" i="74" s="1"/>
  <c r="S90" i="74" s="1"/>
  <c r="Q282" i="73"/>
  <c r="Q45" i="74" s="1"/>
  <c r="Q90" i="74" s="1"/>
  <c r="Q212" i="73"/>
  <c r="T212" i="73"/>
  <c r="T282" i="73"/>
  <c r="T45" i="74" s="1"/>
  <c r="T90" i="74" s="1"/>
  <c r="O283" i="73"/>
  <c r="O46" i="74" s="1"/>
  <c r="O91" i="74" s="1"/>
  <c r="O213" i="73"/>
  <c r="R277" i="73"/>
  <c r="R40" i="74" s="1"/>
  <c r="R85" i="74" s="1"/>
  <c r="R207" i="73"/>
  <c r="P279" i="73"/>
  <c r="P42" i="74" s="1"/>
  <c r="P87" i="74" s="1"/>
  <c r="P209" i="73"/>
  <c r="M284" i="73"/>
  <c r="M47" i="74" s="1"/>
  <c r="M92" i="74" s="1"/>
  <c r="M214" i="73"/>
  <c r="O280" i="73"/>
  <c r="O43" i="74" s="1"/>
  <c r="O88" i="74" s="1"/>
  <c r="O210" i="73"/>
  <c r="O257" i="73"/>
  <c r="O25" i="41" s="1"/>
  <c r="L206" i="73"/>
  <c r="L276" i="73"/>
  <c r="L39" i="74" s="1"/>
  <c r="L84" i="74" s="1"/>
  <c r="J206" i="73"/>
  <c r="J276" i="73"/>
  <c r="J39" i="74" s="1"/>
  <c r="N281" i="73"/>
  <c r="N44" i="74" s="1"/>
  <c r="N89" i="74" s="1"/>
  <c r="N211" i="73"/>
  <c r="K214" i="73"/>
  <c r="K284" i="73"/>
  <c r="K47" i="74" s="1"/>
  <c r="K92" i="74" s="1"/>
  <c r="T280" i="73"/>
  <c r="T43" i="74" s="1"/>
  <c r="T88" i="74" s="1"/>
  <c r="T210" i="73"/>
  <c r="Q257" i="73"/>
  <c r="Q25" i="41" s="1"/>
  <c r="Q276" i="73"/>
  <c r="Q39" i="74" s="1"/>
  <c r="Q84" i="74" s="1"/>
  <c r="Q206" i="73"/>
  <c r="R281" i="73"/>
  <c r="R44" i="74" s="1"/>
  <c r="R89" i="74" s="1"/>
  <c r="R211" i="73"/>
  <c r="X250" i="72"/>
  <c r="X26" i="41" s="1"/>
  <c r="M213" i="73"/>
  <c r="M283" i="73"/>
  <c r="M46" i="74" s="1"/>
  <c r="M91" i="74" s="1"/>
  <c r="Q207" i="73"/>
  <c r="Q277" i="73"/>
  <c r="Q40" i="74" s="1"/>
  <c r="Q85" i="74" s="1"/>
  <c r="P207" i="73"/>
  <c r="P277" i="73"/>
  <c r="P40" i="74" s="1"/>
  <c r="P85" i="74" s="1"/>
  <c r="M209" i="73"/>
  <c r="M279" i="73"/>
  <c r="M42" i="74" s="1"/>
  <c r="M87" i="74" s="1"/>
  <c r="Q209" i="73"/>
  <c r="Q279" i="73"/>
  <c r="Q42" i="74" s="1"/>
  <c r="Q87" i="74" s="1"/>
  <c r="S279" i="73"/>
  <c r="S42" i="74" s="1"/>
  <c r="S87" i="74" s="1"/>
  <c r="S209" i="73"/>
  <c r="N214" i="73"/>
  <c r="N284" i="73"/>
  <c r="N47" i="74" s="1"/>
  <c r="N92" i="74" s="1"/>
  <c r="S284" i="73"/>
  <c r="S47" i="74" s="1"/>
  <c r="S92" i="74" s="1"/>
  <c r="S214" i="73"/>
  <c r="O284" i="73"/>
  <c r="O47" i="74" s="1"/>
  <c r="O92" i="74" s="1"/>
  <c r="O214" i="73"/>
  <c r="P280" i="73"/>
  <c r="P43" i="74" s="1"/>
  <c r="P88" i="74" s="1"/>
  <c r="P210" i="73"/>
  <c r="L280" i="73"/>
  <c r="L43" i="74" s="1"/>
  <c r="L88" i="74" s="1"/>
  <c r="L210" i="73"/>
  <c r="S257" i="73"/>
  <c r="S25" i="41" s="1"/>
  <c r="T257" i="73"/>
  <c r="T25" i="41" s="1"/>
  <c r="R257" i="73"/>
  <c r="R25" i="41" s="1"/>
  <c r="M257" i="73"/>
  <c r="M25" i="41" s="1"/>
  <c r="M276" i="73"/>
  <c r="M39" i="74" s="1"/>
  <c r="M84" i="74" s="1"/>
  <c r="M206" i="73"/>
  <c r="S206" i="73"/>
  <c r="S276" i="73"/>
  <c r="S39" i="74" s="1"/>
  <c r="S84" i="74" s="1"/>
  <c r="K281" i="73"/>
  <c r="K44" i="74" s="1"/>
  <c r="K89" i="74" s="1"/>
  <c r="K211" i="73"/>
  <c r="O281" i="73"/>
  <c r="O44" i="74" s="1"/>
  <c r="O89" i="74" s="1"/>
  <c r="O211" i="73"/>
  <c r="S211" i="73"/>
  <c r="S281" i="73"/>
  <c r="S44" i="74" s="1"/>
  <c r="S89" i="74" s="1"/>
  <c r="Y250" i="72"/>
  <c r="Y26" i="41" s="1"/>
  <c r="AB250" i="72"/>
  <c r="AB26" i="41" s="1"/>
  <c r="R250" i="72"/>
  <c r="R26" i="41" s="1"/>
  <c r="O218" i="71"/>
  <c r="O21" i="41" s="1"/>
  <c r="P250" i="72"/>
  <c r="P26" i="41" s="1"/>
  <c r="Q250" i="72"/>
  <c r="Q26" i="41" s="1"/>
  <c r="K36" i="71"/>
  <c r="K141" i="71" s="1"/>
  <c r="K217" i="71" s="1"/>
  <c r="K20" i="41" s="1"/>
  <c r="K239" i="83"/>
  <c r="N36" i="71"/>
  <c r="N141" i="71" s="1"/>
  <c r="N217" i="71" s="1"/>
  <c r="N20" i="41" s="1"/>
  <c r="N239" i="83"/>
  <c r="R36" i="71"/>
  <c r="R141" i="71" s="1"/>
  <c r="R217" i="71" s="1"/>
  <c r="R20" i="41" s="1"/>
  <c r="R239" i="83"/>
  <c r="T36" i="71"/>
  <c r="T141" i="71" s="1"/>
  <c r="T217" i="71" s="1"/>
  <c r="T20" i="41" s="1"/>
  <c r="T239" i="83"/>
  <c r="X219" i="71"/>
  <c r="X22" i="41" s="1"/>
  <c r="Y219" i="71"/>
  <c r="Y22" i="41" s="1"/>
  <c r="L218" i="71"/>
  <c r="L21" i="41" s="1"/>
  <c r="AB218" i="71"/>
  <c r="AB21" i="41" s="1"/>
  <c r="U218" i="71"/>
  <c r="U21" i="41" s="1"/>
  <c r="W218" i="71"/>
  <c r="W21" i="41" s="1"/>
  <c r="V219" i="71"/>
  <c r="V22" i="41" s="1"/>
  <c r="T219" i="71"/>
  <c r="T22" i="41" s="1"/>
  <c r="L215" i="73"/>
  <c r="L285" i="73"/>
  <c r="L48" i="74" s="1"/>
  <c r="L93" i="74" s="1"/>
  <c r="R285" i="73"/>
  <c r="R48" i="74" s="1"/>
  <c r="R93" i="74" s="1"/>
  <c r="R215" i="73"/>
  <c r="N215" i="73"/>
  <c r="N285" i="73"/>
  <c r="N48" i="74" s="1"/>
  <c r="N93" i="74" s="1"/>
  <c r="M278" i="73"/>
  <c r="M41" i="74" s="1"/>
  <c r="M86" i="74" s="1"/>
  <c r="M208" i="73"/>
  <c r="K278" i="73"/>
  <c r="K41" i="74" s="1"/>
  <c r="K86" i="74" s="1"/>
  <c r="K208" i="73"/>
  <c r="P282" i="73"/>
  <c r="P45" i="74" s="1"/>
  <c r="P90" i="74" s="1"/>
  <c r="P212" i="73"/>
  <c r="J282" i="73"/>
  <c r="J45" i="74" s="1"/>
  <c r="J90" i="74" s="1"/>
  <c r="J212" i="73"/>
  <c r="O282" i="73"/>
  <c r="O45" i="74" s="1"/>
  <c r="O90" i="74" s="1"/>
  <c r="O212" i="73"/>
  <c r="K282" i="73"/>
  <c r="K45" i="74" s="1"/>
  <c r="K90" i="74" s="1"/>
  <c r="K212" i="73"/>
  <c r="Q211" i="73"/>
  <c r="Q281" i="73"/>
  <c r="Q44" i="74" s="1"/>
  <c r="Q89" i="74" s="1"/>
  <c r="L283" i="73"/>
  <c r="L46" i="74" s="1"/>
  <c r="L91" i="74" s="1"/>
  <c r="L213" i="73"/>
  <c r="T213" i="73"/>
  <c r="T283" i="73"/>
  <c r="T46" i="74" s="1"/>
  <c r="T91" i="74" s="1"/>
  <c r="J277" i="73"/>
  <c r="J40" i="74" s="1"/>
  <c r="J85" i="74" s="1"/>
  <c r="J207" i="73"/>
  <c r="N209" i="73"/>
  <c r="N279" i="73"/>
  <c r="N42" i="74" s="1"/>
  <c r="N87" i="74" s="1"/>
  <c r="T284" i="73"/>
  <c r="T47" i="74" s="1"/>
  <c r="T92" i="74" s="1"/>
  <c r="T214" i="73"/>
  <c r="L257" i="73"/>
  <c r="L25" i="41" s="1"/>
  <c r="P257" i="73"/>
  <c r="P25" i="41" s="1"/>
  <c r="R276" i="73"/>
  <c r="R39" i="74" s="1"/>
  <c r="R84" i="74" s="1"/>
  <c r="R206" i="73"/>
  <c r="L211" i="73"/>
  <c r="L281" i="73"/>
  <c r="L44" i="74" s="1"/>
  <c r="L89" i="74" s="1"/>
  <c r="T211" i="73"/>
  <c r="T281" i="73"/>
  <c r="T44" i="74" s="1"/>
  <c r="T89" i="74" s="1"/>
  <c r="AA250" i="72"/>
  <c r="AA26" i="41" s="1"/>
  <c r="Q283" i="73"/>
  <c r="Q46" i="74" s="1"/>
  <c r="Q91" i="74" s="1"/>
  <c r="Q213" i="73"/>
  <c r="P283" i="73"/>
  <c r="P46" i="74" s="1"/>
  <c r="P91" i="74" s="1"/>
  <c r="P213" i="73"/>
  <c r="J283" i="73"/>
  <c r="J46" i="74" s="1"/>
  <c r="J91" i="74" s="1"/>
  <c r="J213" i="73"/>
  <c r="S283" i="73"/>
  <c r="S46" i="74" s="1"/>
  <c r="S91" i="74" s="1"/>
  <c r="S213" i="73"/>
  <c r="K283" i="73"/>
  <c r="K46" i="74" s="1"/>
  <c r="K91" i="74" s="1"/>
  <c r="K213" i="73"/>
  <c r="M277" i="73"/>
  <c r="M40" i="74" s="1"/>
  <c r="M85" i="74" s="1"/>
  <c r="M207" i="73"/>
  <c r="T277" i="73"/>
  <c r="T40" i="74" s="1"/>
  <c r="T85" i="74" s="1"/>
  <c r="T207" i="73"/>
  <c r="O207" i="73"/>
  <c r="O277" i="73"/>
  <c r="O40" i="74" s="1"/>
  <c r="O85" i="74" s="1"/>
  <c r="J279" i="73"/>
  <c r="J42" i="74" s="1"/>
  <c r="J87" i="74" s="1"/>
  <c r="J209" i="73"/>
  <c r="L279" i="73"/>
  <c r="L42" i="74" s="1"/>
  <c r="L87" i="74" s="1"/>
  <c r="L209" i="73"/>
  <c r="R284" i="73"/>
  <c r="R47" i="74" s="1"/>
  <c r="R92" i="74" s="1"/>
  <c r="R214" i="73"/>
  <c r="L284" i="73"/>
  <c r="L47" i="74" s="1"/>
  <c r="L92" i="74" s="1"/>
  <c r="L214" i="73"/>
  <c r="Q214" i="73"/>
  <c r="Q284" i="73"/>
  <c r="Q47" i="74" s="1"/>
  <c r="Q92" i="74" s="1"/>
  <c r="K210" i="73"/>
  <c r="K280" i="73"/>
  <c r="K43" i="74" s="1"/>
  <c r="K88" i="74" s="1"/>
  <c r="R280" i="73"/>
  <c r="R43" i="74" s="1"/>
  <c r="R88" i="74" s="1"/>
  <c r="R210" i="73"/>
  <c r="S210" i="73"/>
  <c r="S280" i="73"/>
  <c r="S43" i="74" s="1"/>
  <c r="S88" i="74" s="1"/>
  <c r="J257" i="73"/>
  <c r="J25" i="41" s="1"/>
  <c r="T206" i="73"/>
  <c r="T276" i="73"/>
  <c r="T39" i="74" s="1"/>
  <c r="T84" i="74" s="1"/>
  <c r="K257" i="73"/>
  <c r="K25" i="41" s="1"/>
  <c r="O276" i="73"/>
  <c r="O39" i="74" s="1"/>
  <c r="O84" i="74" s="1"/>
  <c r="O206" i="73"/>
  <c r="N206" i="73"/>
  <c r="N276" i="73"/>
  <c r="N39" i="74" s="1"/>
  <c r="N84" i="74" s="1"/>
  <c r="P206" i="73"/>
  <c r="P276" i="73"/>
  <c r="P39" i="74" s="1"/>
  <c r="P84" i="74" s="1"/>
  <c r="P281" i="73"/>
  <c r="P44" i="74" s="1"/>
  <c r="P89" i="74" s="1"/>
  <c r="P211" i="73"/>
  <c r="M281" i="73"/>
  <c r="M44" i="74" s="1"/>
  <c r="M89" i="74" s="1"/>
  <c r="M211" i="73"/>
  <c r="W250" i="72"/>
  <c r="W26" i="41" s="1"/>
  <c r="V250" i="72"/>
  <c r="V26" i="41" s="1"/>
  <c r="U250" i="72"/>
  <c r="U26" i="41" s="1"/>
  <c r="Q219" i="71"/>
  <c r="Q22" i="41" s="1"/>
  <c r="L36" i="71"/>
  <c r="L141" i="71" s="1"/>
  <c r="L217" i="71" s="1"/>
  <c r="L20" i="41" s="1"/>
  <c r="L239" i="83"/>
  <c r="N219" i="71"/>
  <c r="N22" i="41" s="1"/>
  <c r="S36" i="71"/>
  <c r="S141" i="71" s="1"/>
  <c r="S217" i="71" s="1"/>
  <c r="S20" i="41" s="1"/>
  <c r="S239" i="83"/>
  <c r="V218" i="71"/>
  <c r="V21" i="41" s="1"/>
  <c r="M219" i="71"/>
  <c r="M22" i="41" s="1"/>
  <c r="O36" i="71"/>
  <c r="O141" i="71" s="1"/>
  <c r="O217" i="71" s="1"/>
  <c r="O20" i="41" s="1"/>
  <c r="O239" i="83"/>
  <c r="U219" i="71"/>
  <c r="U22" i="41" s="1"/>
  <c r="Q36" i="71"/>
  <c r="Q141" i="71" s="1"/>
  <c r="Q217" i="71" s="1"/>
  <c r="Q20" i="41" s="1"/>
  <c r="Q239" i="83"/>
  <c r="AB36" i="71"/>
  <c r="AB141" i="71" s="1"/>
  <c r="AB217" i="71" s="1"/>
  <c r="AB20" i="41" s="1"/>
  <c r="AB239" i="83"/>
  <c r="O219" i="71"/>
  <c r="O22" i="41" s="1"/>
  <c r="Y218" i="71"/>
  <c r="Y21" i="41" s="1"/>
  <c r="J218" i="71"/>
  <c r="J21" i="41" s="1"/>
  <c r="J36" i="71"/>
  <c r="J239" i="83"/>
  <c r="K250" i="72"/>
  <c r="K26" i="41" s="1"/>
  <c r="AB219" i="71"/>
  <c r="AB22" i="41" s="1"/>
  <c r="AA218" i="71"/>
  <c r="AA21" i="41" s="1"/>
  <c r="J250" i="72"/>
  <c r="J26" i="41" s="1"/>
  <c r="J285" i="73"/>
  <c r="J48" i="74" s="1"/>
  <c r="J93" i="74" s="1"/>
  <c r="J215" i="73"/>
  <c r="K215" i="73"/>
  <c r="K285" i="73"/>
  <c r="K48" i="74" s="1"/>
  <c r="K93" i="74" s="1"/>
  <c r="T285" i="73"/>
  <c r="T48" i="74" s="1"/>
  <c r="T93" i="74" s="1"/>
  <c r="T215" i="73"/>
  <c r="R278" i="73"/>
  <c r="R41" i="74" s="1"/>
  <c r="R86" i="74" s="1"/>
  <c r="R208" i="73"/>
  <c r="O278" i="73"/>
  <c r="O41" i="74" s="1"/>
  <c r="O86" i="74" s="1"/>
  <c r="O208" i="73"/>
  <c r="N208" i="73"/>
  <c r="N278" i="73"/>
  <c r="N41" i="74" s="1"/>
  <c r="N86" i="74" s="1"/>
  <c r="N212" i="73"/>
  <c r="N282" i="73"/>
  <c r="N45" i="74" s="1"/>
  <c r="N90" i="74" s="1"/>
  <c r="M212" i="73"/>
  <c r="M282" i="73"/>
  <c r="M45" i="74" s="1"/>
  <c r="M90" i="74" s="1"/>
  <c r="Z250" i="72"/>
  <c r="Z26" i="41" s="1"/>
  <c r="M36" i="71"/>
  <c r="M141" i="71" s="1"/>
  <c r="M217" i="71" s="1"/>
  <c r="M20" i="41" s="1"/>
  <c r="M239" i="83"/>
  <c r="N218" i="71"/>
  <c r="N21" i="41" s="1"/>
  <c r="W36" i="71"/>
  <c r="W141" i="71" s="1"/>
  <c r="W217" i="71" s="1"/>
  <c r="W20" i="41" s="1"/>
  <c r="W239" i="83"/>
  <c r="S250" i="72"/>
  <c r="S26" i="41" s="1"/>
  <c r="Z218" i="71"/>
  <c r="Z21" i="41" s="1"/>
  <c r="S218" i="71"/>
  <c r="S21" i="41" s="1"/>
  <c r="K219" i="71"/>
  <c r="K22" i="41" s="1"/>
  <c r="Y36" i="71"/>
  <c r="Y141" i="71" s="1"/>
  <c r="Y217" i="71" s="1"/>
  <c r="Y20" i="41" s="1"/>
  <c r="Y239" i="83"/>
  <c r="Z36" i="71"/>
  <c r="Z141" i="71" s="1"/>
  <c r="Z217" i="71" s="1"/>
  <c r="Z20" i="41" s="1"/>
  <c r="Z239" i="83"/>
  <c r="P219" i="71"/>
  <c r="P22" i="41" s="1"/>
  <c r="L250" i="72"/>
  <c r="L26" i="41" s="1"/>
  <c r="P218" i="71"/>
  <c r="P21" i="41" s="1"/>
  <c r="L219" i="71"/>
  <c r="L22" i="41" s="1"/>
  <c r="W219" i="71"/>
  <c r="W22" i="41" s="1"/>
  <c r="T250" i="72"/>
  <c r="T26" i="41" s="1"/>
  <c r="M250" i="72"/>
  <c r="M26" i="41" s="1"/>
  <c r="J219" i="71"/>
  <c r="J22" i="41" s="1"/>
  <c r="S285" i="73"/>
  <c r="S48" i="74" s="1"/>
  <c r="S93" i="74" s="1"/>
  <c r="S215" i="73"/>
  <c r="P285" i="73"/>
  <c r="P48" i="74" s="1"/>
  <c r="P93" i="74" s="1"/>
  <c r="P215" i="73"/>
  <c r="J208" i="73"/>
  <c r="J278" i="73"/>
  <c r="J41" i="74" s="1"/>
  <c r="J86" i="74" s="1"/>
  <c r="T278" i="73"/>
  <c r="T41" i="74" s="1"/>
  <c r="T86" i="74" s="1"/>
  <c r="T208" i="73"/>
  <c r="Q208" i="73"/>
  <c r="Q278" i="73"/>
  <c r="Q41" i="74" s="1"/>
  <c r="Q86" i="74" s="1"/>
  <c r="L208" i="73"/>
  <c r="L278" i="73"/>
  <c r="L41" i="74" s="1"/>
  <c r="L86" i="74" s="1"/>
  <c r="R282" i="73"/>
  <c r="R45" i="74" s="1"/>
  <c r="R90" i="74" s="1"/>
  <c r="R212" i="73"/>
  <c r="L282" i="73"/>
  <c r="L45" i="74" s="1"/>
  <c r="L90" i="74" s="1"/>
  <c r="L212" i="73"/>
  <c r="N56" i="41" l="1"/>
  <c r="P256" i="73"/>
  <c r="P24" i="41" s="1"/>
  <c r="P24" i="65" s="1"/>
  <c r="P94" i="65" s="1"/>
  <c r="N256" i="73"/>
  <c r="N24" i="41" s="1"/>
  <c r="N24" i="65" s="1"/>
  <c r="N94" i="65" s="1"/>
  <c r="R256" i="73"/>
  <c r="R24" i="41" s="1"/>
  <c r="R24" i="65" s="1"/>
  <c r="R94" i="65" s="1"/>
  <c r="H254" i="72" a="1"/>
  <c r="H254" i="72" s="1"/>
  <c r="L123" i="74"/>
  <c r="L155" i="74" s="1"/>
  <c r="J123" i="74"/>
  <c r="J155" i="74" s="1"/>
  <c r="K26" i="65"/>
  <c r="K96" i="65" s="1"/>
  <c r="K57" i="41"/>
  <c r="Y75" i="41"/>
  <c r="AR102" i="41" s="1"/>
  <c r="Y21" i="65"/>
  <c r="Y91" i="65" s="1"/>
  <c r="Y52" i="41"/>
  <c r="O20" i="65"/>
  <c r="O74" i="41"/>
  <c r="O102" i="41" s="1"/>
  <c r="O51" i="41"/>
  <c r="S20" i="65"/>
  <c r="S90" i="65" s="1"/>
  <c r="S74" i="41"/>
  <c r="S102" i="41" s="1"/>
  <c r="S51" i="41"/>
  <c r="Q22" i="65"/>
  <c r="Q92" i="65" s="1"/>
  <c r="Q76" i="41"/>
  <c r="BC102" i="41" s="1"/>
  <c r="Q53" i="41"/>
  <c r="O256" i="73"/>
  <c r="O24" i="41" s="1"/>
  <c r="T256" i="73"/>
  <c r="T24" i="41" s="1"/>
  <c r="L115" i="74"/>
  <c r="L147" i="74" s="1"/>
  <c r="J115" i="74"/>
  <c r="J147" i="74" s="1"/>
  <c r="W75" i="41"/>
  <c r="AP102" i="41" s="1"/>
  <c r="W52" i="41"/>
  <c r="W21" i="65"/>
  <c r="W91" i="65" s="1"/>
  <c r="Y76" i="41"/>
  <c r="BK102" i="41" s="1"/>
  <c r="Y22" i="65"/>
  <c r="Y92" i="65" s="1"/>
  <c r="Y53" i="41"/>
  <c r="O21" i="65"/>
  <c r="O75" i="41"/>
  <c r="AH102" i="41" s="1"/>
  <c r="O52" i="41"/>
  <c r="M256" i="73"/>
  <c r="M24" i="41" s="1"/>
  <c r="T25" i="65"/>
  <c r="T95" i="65" s="1"/>
  <c r="T56" i="41"/>
  <c r="X26" i="65"/>
  <c r="X96" i="65" s="1"/>
  <c r="X107" i="65" s="1"/>
  <c r="X136" i="65" s="1"/>
  <c r="X57" i="41"/>
  <c r="Y122" i="74"/>
  <c r="Y154" i="74" s="1"/>
  <c r="K122" i="74"/>
  <c r="K154" i="74" s="1"/>
  <c r="W122" i="74"/>
  <c r="W154" i="74" s="1"/>
  <c r="X122" i="74"/>
  <c r="X154" i="74" s="1"/>
  <c r="S122" i="74"/>
  <c r="S154" i="74" s="1"/>
  <c r="P122" i="74"/>
  <c r="P154" i="74" s="1"/>
  <c r="V122" i="74"/>
  <c r="V154" i="74" s="1"/>
  <c r="AB122" i="74"/>
  <c r="AB154" i="74" s="1"/>
  <c r="U122" i="74"/>
  <c r="U154" i="74" s="1"/>
  <c r="N122" i="74"/>
  <c r="N154" i="74" s="1"/>
  <c r="R122" i="74"/>
  <c r="R154" i="74" s="1"/>
  <c r="M122" i="74"/>
  <c r="M154" i="74" s="1"/>
  <c r="AA122" i="74"/>
  <c r="AA154" i="74" s="1"/>
  <c r="O122" i="74"/>
  <c r="O154" i="74" s="1"/>
  <c r="Z122" i="74"/>
  <c r="Z154" i="74" s="1"/>
  <c r="T122" i="74"/>
  <c r="T154" i="74" s="1"/>
  <c r="Q122" i="74"/>
  <c r="Q154" i="74" s="1"/>
  <c r="J84" i="74"/>
  <c r="O25" i="65"/>
  <c r="O95" i="65" s="1"/>
  <c r="O56" i="41"/>
  <c r="K21" i="65"/>
  <c r="K75" i="41"/>
  <c r="AD102" i="41" s="1"/>
  <c r="K52" i="41"/>
  <c r="AA76" i="41"/>
  <c r="BM102" i="41" s="1"/>
  <c r="AA22" i="65"/>
  <c r="AA92" i="65" s="1"/>
  <c r="AA53" i="41"/>
  <c r="AA74" i="41"/>
  <c r="AA102" i="41" s="1"/>
  <c r="AA51" i="41"/>
  <c r="AA20" i="65"/>
  <c r="AA90" i="65" s="1"/>
  <c r="R21" i="65"/>
  <c r="R91" i="65" s="1"/>
  <c r="R75" i="41"/>
  <c r="AK102" i="41" s="1"/>
  <c r="R52" i="41"/>
  <c r="R114" i="74"/>
  <c r="R146" i="74" s="1"/>
  <c r="W114" i="74"/>
  <c r="W146" i="74" s="1"/>
  <c r="T114" i="74"/>
  <c r="T146" i="74" s="1"/>
  <c r="AB114" i="74"/>
  <c r="AB146" i="74" s="1"/>
  <c r="X114" i="74"/>
  <c r="X146" i="74" s="1"/>
  <c r="Z114" i="74"/>
  <c r="Z146" i="74" s="1"/>
  <c r="S114" i="74"/>
  <c r="S146" i="74" s="1"/>
  <c r="O114" i="74"/>
  <c r="O146" i="74" s="1"/>
  <c r="P114" i="74"/>
  <c r="P146" i="74" s="1"/>
  <c r="Y114" i="74"/>
  <c r="Y146" i="74" s="1"/>
  <c r="V114" i="74"/>
  <c r="V146" i="74" s="1"/>
  <c r="M114" i="74"/>
  <c r="M146" i="74" s="1"/>
  <c r="K114" i="74"/>
  <c r="K146" i="74" s="1"/>
  <c r="Q114" i="74"/>
  <c r="Q146" i="74" s="1"/>
  <c r="U114" i="74"/>
  <c r="U146" i="74" s="1"/>
  <c r="N114" i="74"/>
  <c r="N146" i="74" s="1"/>
  <c r="AA114" i="74"/>
  <c r="AA146" i="74" s="1"/>
  <c r="J122" i="74"/>
  <c r="J154" i="74" s="1"/>
  <c r="L122" i="74"/>
  <c r="L154" i="74" s="1"/>
  <c r="M26" i="65"/>
  <c r="M96" i="65" s="1"/>
  <c r="M57" i="41"/>
  <c r="P21" i="65"/>
  <c r="P75" i="41"/>
  <c r="AI102" i="41" s="1"/>
  <c r="P52" i="41"/>
  <c r="Z20" i="65"/>
  <c r="Z90" i="65" s="1"/>
  <c r="Z101" i="65" s="1"/>
  <c r="Z130" i="65" s="1"/>
  <c r="Z74" i="41"/>
  <c r="Z102" i="41" s="1"/>
  <c r="Z51" i="41"/>
  <c r="S21" i="65"/>
  <c r="S91" i="65" s="1"/>
  <c r="S75" i="41"/>
  <c r="AL102" i="41" s="1"/>
  <c r="S52" i="41"/>
  <c r="W74" i="41"/>
  <c r="W102" i="41" s="1"/>
  <c r="W51" i="41"/>
  <c r="W20" i="65"/>
  <c r="W90" i="65" s="1"/>
  <c r="Z26" i="65"/>
  <c r="Z96" i="65" s="1"/>
  <c r="Z107" i="65" s="1"/>
  <c r="Z136" i="65" s="1"/>
  <c r="Z57" i="41"/>
  <c r="AB22" i="65"/>
  <c r="AB92" i="65" s="1"/>
  <c r="AB103" i="65" s="1"/>
  <c r="AB132" i="65" s="1"/>
  <c r="AB76" i="41"/>
  <c r="BN102" i="41" s="1"/>
  <c r="AB53" i="41"/>
  <c r="J21" i="65"/>
  <c r="J75" i="41"/>
  <c r="AC102" i="41" s="1"/>
  <c r="J52" i="41"/>
  <c r="K256" i="73"/>
  <c r="K24" i="41" s="1"/>
  <c r="L118" i="74"/>
  <c r="L150" i="74" s="1"/>
  <c r="J118" i="74"/>
  <c r="J150" i="74" s="1"/>
  <c r="AB20" i="65"/>
  <c r="AB90" i="65" s="1"/>
  <c r="AB101" i="65" s="1"/>
  <c r="AB130" i="65" s="1"/>
  <c r="AB74" i="41"/>
  <c r="AB102" i="41" s="1"/>
  <c r="AB51" i="41"/>
  <c r="L20" i="65"/>
  <c r="L74" i="41"/>
  <c r="L102" i="41" s="1"/>
  <c r="L51" i="41"/>
  <c r="W57" i="41"/>
  <c r="W26" i="65"/>
  <c r="W96" i="65" s="1"/>
  <c r="L116" i="74"/>
  <c r="L148" i="74" s="1"/>
  <c r="J116" i="74"/>
  <c r="J148" i="74" s="1"/>
  <c r="T26" i="65"/>
  <c r="T96" i="65" s="1"/>
  <c r="T57" i="41"/>
  <c r="L57" i="41"/>
  <c r="L26" i="65"/>
  <c r="L96" i="65" s="1"/>
  <c r="Z21" i="65"/>
  <c r="Z91" i="65" s="1"/>
  <c r="Z102" i="65" s="1"/>
  <c r="Z131" i="65" s="1"/>
  <c r="Z75" i="41"/>
  <c r="AS102" i="41" s="1"/>
  <c r="Z52" i="41"/>
  <c r="N21" i="65"/>
  <c r="N75" i="41"/>
  <c r="AG102" i="41" s="1"/>
  <c r="N52" i="41"/>
  <c r="W76" i="41"/>
  <c r="BI102" i="41" s="1"/>
  <c r="W22" i="65"/>
  <c r="W92" i="65" s="1"/>
  <c r="W53" i="41"/>
  <c r="P22" i="65"/>
  <c r="P76" i="41"/>
  <c r="BB102" i="41" s="1"/>
  <c r="P53" i="41"/>
  <c r="Y74" i="41"/>
  <c r="Y102" i="41" s="1"/>
  <c r="Y51" i="41"/>
  <c r="Y20" i="65"/>
  <c r="Y90" i="65" s="1"/>
  <c r="S26" i="65"/>
  <c r="S96" i="65" s="1"/>
  <c r="S57" i="41"/>
  <c r="R123" i="74"/>
  <c r="R155" i="74" s="1"/>
  <c r="Z123" i="74"/>
  <c r="Z155" i="74" s="1"/>
  <c r="Y123" i="74"/>
  <c r="Y155" i="74" s="1"/>
  <c r="N123" i="74"/>
  <c r="N155" i="74" s="1"/>
  <c r="U123" i="74"/>
  <c r="U155" i="74" s="1"/>
  <c r="T123" i="74"/>
  <c r="T155" i="74" s="1"/>
  <c r="K123" i="74"/>
  <c r="K155" i="74" s="1"/>
  <c r="X123" i="74"/>
  <c r="X155" i="74" s="1"/>
  <c r="W123" i="74"/>
  <c r="W155" i="74" s="1"/>
  <c r="AB123" i="74"/>
  <c r="AB155" i="74" s="1"/>
  <c r="P123" i="74"/>
  <c r="P155" i="74" s="1"/>
  <c r="AA123" i="74"/>
  <c r="AA155" i="74" s="1"/>
  <c r="S123" i="74"/>
  <c r="S155" i="74" s="1"/>
  <c r="M123" i="74"/>
  <c r="M155" i="74" s="1"/>
  <c r="Q123" i="74"/>
  <c r="Q155" i="74" s="1"/>
  <c r="O123" i="74"/>
  <c r="O155" i="74" s="1"/>
  <c r="V123" i="74"/>
  <c r="V155" i="74" s="1"/>
  <c r="J57" i="41"/>
  <c r="J26" i="65"/>
  <c r="J96" i="65" s="1"/>
  <c r="H239" i="83"/>
  <c r="H241" i="83" s="1"/>
  <c r="O22" i="65"/>
  <c r="O76" i="41"/>
  <c r="BA102" i="41" s="1"/>
  <c r="O53" i="41"/>
  <c r="Q20" i="65"/>
  <c r="Q90" i="65" s="1"/>
  <c r="Q74" i="41"/>
  <c r="Q102" i="41" s="1"/>
  <c r="Q51" i="41"/>
  <c r="M22" i="65"/>
  <c r="M76" i="41"/>
  <c r="AY102" i="41" s="1"/>
  <c r="M53" i="41"/>
  <c r="N22" i="65"/>
  <c r="N76" i="41"/>
  <c r="AZ102" i="41" s="1"/>
  <c r="N53" i="41"/>
  <c r="U57" i="41"/>
  <c r="U26" i="65"/>
  <c r="U96" i="65" s="1"/>
  <c r="J25" i="65"/>
  <c r="J95" i="65" s="1"/>
  <c r="J56" i="41"/>
  <c r="J117" i="74"/>
  <c r="J149" i="74" s="1"/>
  <c r="L117" i="74"/>
  <c r="L149" i="74" s="1"/>
  <c r="U121" i="74"/>
  <c r="U153" i="74" s="1"/>
  <c r="W121" i="74"/>
  <c r="W153" i="74" s="1"/>
  <c r="Q121" i="74"/>
  <c r="Q153" i="74" s="1"/>
  <c r="AA121" i="74"/>
  <c r="AA153" i="74" s="1"/>
  <c r="O121" i="74"/>
  <c r="O153" i="74" s="1"/>
  <c r="M121" i="74"/>
  <c r="M153" i="74" s="1"/>
  <c r="K121" i="74"/>
  <c r="K153" i="74" s="1"/>
  <c r="N121" i="74"/>
  <c r="N153" i="74" s="1"/>
  <c r="Z121" i="74"/>
  <c r="Z153" i="74" s="1"/>
  <c r="P121" i="74"/>
  <c r="P153" i="74" s="1"/>
  <c r="X121" i="74"/>
  <c r="X153" i="74" s="1"/>
  <c r="AB121" i="74"/>
  <c r="AB153" i="74" s="1"/>
  <c r="R121" i="74"/>
  <c r="R153" i="74" s="1"/>
  <c r="T121" i="74"/>
  <c r="T153" i="74" s="1"/>
  <c r="Y121" i="74"/>
  <c r="Y153" i="74" s="1"/>
  <c r="V121" i="74"/>
  <c r="V153" i="74" s="1"/>
  <c r="S121" i="74"/>
  <c r="S153" i="74" s="1"/>
  <c r="J121" i="74"/>
  <c r="J153" i="74" s="1"/>
  <c r="L121" i="74"/>
  <c r="L153" i="74" s="1"/>
  <c r="P56" i="41"/>
  <c r="P25" i="65"/>
  <c r="P95" i="65" s="1"/>
  <c r="Q120" i="74"/>
  <c r="Q152" i="74" s="1"/>
  <c r="V120" i="74"/>
  <c r="V152" i="74" s="1"/>
  <c r="Z120" i="74"/>
  <c r="Z152" i="74" s="1"/>
  <c r="S120" i="74"/>
  <c r="S152" i="74" s="1"/>
  <c r="Y120" i="74"/>
  <c r="Y152" i="74" s="1"/>
  <c r="U120" i="74"/>
  <c r="U152" i="74" s="1"/>
  <c r="R120" i="74"/>
  <c r="R152" i="74" s="1"/>
  <c r="W120" i="74"/>
  <c r="W152" i="74" s="1"/>
  <c r="K120" i="74"/>
  <c r="K152" i="74" s="1"/>
  <c r="O120" i="74"/>
  <c r="O152" i="74" s="1"/>
  <c r="T120" i="74"/>
  <c r="T152" i="74" s="1"/>
  <c r="AB120" i="74"/>
  <c r="AB152" i="74" s="1"/>
  <c r="X120" i="74"/>
  <c r="X152" i="74" s="1"/>
  <c r="P120" i="74"/>
  <c r="P152" i="74" s="1"/>
  <c r="N120" i="74"/>
  <c r="N152" i="74" s="1"/>
  <c r="M120" i="74"/>
  <c r="M152" i="74" s="1"/>
  <c r="AA120" i="74"/>
  <c r="AA152" i="74" s="1"/>
  <c r="J120" i="74"/>
  <c r="J152" i="74" s="1"/>
  <c r="L120" i="74"/>
  <c r="L152" i="74" s="1"/>
  <c r="T116" i="74"/>
  <c r="T148" i="74" s="1"/>
  <c r="N116" i="74"/>
  <c r="N148" i="74" s="1"/>
  <c r="Y116" i="74"/>
  <c r="Y148" i="74" s="1"/>
  <c r="V116" i="74"/>
  <c r="V148" i="74" s="1"/>
  <c r="Z116" i="74"/>
  <c r="Z148" i="74" s="1"/>
  <c r="AA116" i="74"/>
  <c r="AA148" i="74" s="1"/>
  <c r="U116" i="74"/>
  <c r="U148" i="74" s="1"/>
  <c r="X116" i="74"/>
  <c r="X148" i="74" s="1"/>
  <c r="K116" i="74"/>
  <c r="K148" i="74" s="1"/>
  <c r="W116" i="74"/>
  <c r="W148" i="74" s="1"/>
  <c r="M116" i="74"/>
  <c r="M148" i="74" s="1"/>
  <c r="P116" i="74"/>
  <c r="P148" i="74" s="1"/>
  <c r="S116" i="74"/>
  <c r="S148" i="74" s="1"/>
  <c r="AB116" i="74"/>
  <c r="AB148" i="74" s="1"/>
  <c r="O116" i="74"/>
  <c r="O148" i="74" s="1"/>
  <c r="Q116" i="74"/>
  <c r="Q148" i="74" s="1"/>
  <c r="R116" i="74"/>
  <c r="R148" i="74" s="1"/>
  <c r="U75" i="41"/>
  <c r="AN102" i="41" s="1"/>
  <c r="U21" i="65"/>
  <c r="U91" i="65" s="1"/>
  <c r="U52" i="41"/>
  <c r="X22" i="65"/>
  <c r="X92" i="65" s="1"/>
  <c r="X103" i="65" s="1"/>
  <c r="X132" i="65" s="1"/>
  <c r="X76" i="41"/>
  <c r="BJ102" i="41" s="1"/>
  <c r="X53" i="41"/>
  <c r="R20" i="65"/>
  <c r="R90" i="65" s="1"/>
  <c r="R74" i="41"/>
  <c r="R102" i="41" s="1"/>
  <c r="R51" i="41"/>
  <c r="K20" i="65"/>
  <c r="K74" i="41"/>
  <c r="K102" i="41" s="1"/>
  <c r="K51" i="41"/>
  <c r="R26" i="65"/>
  <c r="R96" i="65" s="1"/>
  <c r="R57" i="41"/>
  <c r="K119" i="74"/>
  <c r="K151" i="74" s="1"/>
  <c r="U119" i="74"/>
  <c r="U151" i="74" s="1"/>
  <c r="S119" i="74"/>
  <c r="S151" i="74" s="1"/>
  <c r="Y119" i="74"/>
  <c r="Y151" i="74" s="1"/>
  <c r="V119" i="74"/>
  <c r="V151" i="74" s="1"/>
  <c r="Q119" i="74"/>
  <c r="Q151" i="74" s="1"/>
  <c r="AA119" i="74"/>
  <c r="AA151" i="74" s="1"/>
  <c r="N119" i="74"/>
  <c r="N151" i="74" s="1"/>
  <c r="P119" i="74"/>
  <c r="P151" i="74" s="1"/>
  <c r="T119" i="74"/>
  <c r="T151" i="74" s="1"/>
  <c r="W119" i="74"/>
  <c r="W151" i="74" s="1"/>
  <c r="O119" i="74"/>
  <c r="O151" i="74" s="1"/>
  <c r="AB119" i="74"/>
  <c r="AB151" i="74" s="1"/>
  <c r="M119" i="74"/>
  <c r="M151" i="74" s="1"/>
  <c r="Z119" i="74"/>
  <c r="Z151" i="74" s="1"/>
  <c r="X119" i="74"/>
  <c r="X151" i="74" s="1"/>
  <c r="R119" i="74"/>
  <c r="R151" i="74" s="1"/>
  <c r="S25" i="65"/>
  <c r="S95" i="65" s="1"/>
  <c r="S56" i="41"/>
  <c r="Q25" i="65"/>
  <c r="Q95" i="65" s="1"/>
  <c r="Q56" i="41"/>
  <c r="J256" i="73"/>
  <c r="J24" i="41" s="1"/>
  <c r="N26" i="65"/>
  <c r="N96" i="65" s="1"/>
  <c r="N57" i="41"/>
  <c r="X21" i="65"/>
  <c r="X91" i="65" s="1"/>
  <c r="X102" i="65" s="1"/>
  <c r="X131" i="65" s="1"/>
  <c r="X75" i="41"/>
  <c r="AQ102" i="41" s="1"/>
  <c r="X52" i="41"/>
  <c r="T21" i="65"/>
  <c r="T75" i="41"/>
  <c r="AM102" i="41" s="1"/>
  <c r="T52" i="41"/>
  <c r="X74" i="41"/>
  <c r="X102" i="41" s="1"/>
  <c r="X20" i="65"/>
  <c r="X90" i="65" s="1"/>
  <c r="X101" i="65" s="1"/>
  <c r="X130" i="65" s="1"/>
  <c r="X51" i="41"/>
  <c r="U74" i="41"/>
  <c r="U102" i="41" s="1"/>
  <c r="U51" i="41"/>
  <c r="U20" i="65"/>
  <c r="U90" i="65" s="1"/>
  <c r="J22" i="65"/>
  <c r="J76" i="41"/>
  <c r="AV102" i="41" s="1"/>
  <c r="J53" i="41"/>
  <c r="L22" i="65"/>
  <c r="L76" i="41"/>
  <c r="AX102" i="41" s="1"/>
  <c r="L53" i="41"/>
  <c r="K22" i="65"/>
  <c r="K76" i="41"/>
  <c r="AW102" i="41" s="1"/>
  <c r="K53" i="41"/>
  <c r="M20" i="65"/>
  <c r="M74" i="41"/>
  <c r="M102" i="41" s="1"/>
  <c r="M51" i="41"/>
  <c r="AA75" i="41"/>
  <c r="AT102" i="41" s="1"/>
  <c r="AA52" i="41"/>
  <c r="AA21" i="65"/>
  <c r="AA91" i="65" s="1"/>
  <c r="J141" i="71"/>
  <c r="J217" i="71" s="1"/>
  <c r="J20" i="41" s="1"/>
  <c r="U76" i="41"/>
  <c r="BG102" i="41" s="1"/>
  <c r="U53" i="41"/>
  <c r="U22" i="65"/>
  <c r="U92" i="65" s="1"/>
  <c r="V75" i="41"/>
  <c r="AO102" i="41" s="1"/>
  <c r="V21" i="65"/>
  <c r="V91" i="65" s="1"/>
  <c r="V52" i="41"/>
  <c r="V26" i="65"/>
  <c r="V96" i="65" s="1"/>
  <c r="V57" i="41"/>
  <c r="K25" i="65"/>
  <c r="K95" i="65" s="1"/>
  <c r="K56" i="41"/>
  <c r="Q118" i="74"/>
  <c r="Q150" i="74" s="1"/>
  <c r="X118" i="74"/>
  <c r="X150" i="74" s="1"/>
  <c r="Z118" i="74"/>
  <c r="Z150" i="74" s="1"/>
  <c r="T118" i="74"/>
  <c r="T150" i="74" s="1"/>
  <c r="M118" i="74"/>
  <c r="M150" i="74" s="1"/>
  <c r="U118" i="74"/>
  <c r="U150" i="74" s="1"/>
  <c r="V118" i="74"/>
  <c r="V150" i="74" s="1"/>
  <c r="K118" i="74"/>
  <c r="K150" i="74" s="1"/>
  <c r="N118" i="74"/>
  <c r="N150" i="74" s="1"/>
  <c r="AA118" i="74"/>
  <c r="AA150" i="74" s="1"/>
  <c r="R118" i="74"/>
  <c r="R150" i="74" s="1"/>
  <c r="AB118" i="74"/>
  <c r="AB150" i="74" s="1"/>
  <c r="Y118" i="74"/>
  <c r="Y150" i="74" s="1"/>
  <c r="O118" i="74"/>
  <c r="O150" i="74" s="1"/>
  <c r="P118" i="74"/>
  <c r="P150" i="74" s="1"/>
  <c r="S118" i="74"/>
  <c r="S150" i="74" s="1"/>
  <c r="W118" i="74"/>
  <c r="W150" i="74" s="1"/>
  <c r="AA57" i="41"/>
  <c r="AA26" i="65"/>
  <c r="AA96" i="65" s="1"/>
  <c r="L56" i="41"/>
  <c r="L25" i="65"/>
  <c r="L95" i="65" s="1"/>
  <c r="T22" i="65"/>
  <c r="T76" i="41"/>
  <c r="BF102" i="41" s="1"/>
  <c r="T53" i="41"/>
  <c r="AB21" i="65"/>
  <c r="AB91" i="65" s="1"/>
  <c r="AB102" i="65" s="1"/>
  <c r="AB131" i="65" s="1"/>
  <c r="AB75" i="41"/>
  <c r="AU102" i="41" s="1"/>
  <c r="AB52" i="41"/>
  <c r="Q26" i="65"/>
  <c r="Q96" i="65" s="1"/>
  <c r="Q57" i="41"/>
  <c r="AB26" i="65"/>
  <c r="AB96" i="65" s="1"/>
  <c r="AB107" i="65" s="1"/>
  <c r="AB136" i="65" s="1"/>
  <c r="AB57" i="41"/>
  <c r="M25" i="65"/>
  <c r="M95" i="65" s="1"/>
  <c r="M56" i="41"/>
  <c r="M21" i="65"/>
  <c r="M75" i="41"/>
  <c r="AF102" i="41" s="1"/>
  <c r="M52" i="41"/>
  <c r="S22" i="65"/>
  <c r="S92" i="65" s="1"/>
  <c r="S76" i="41"/>
  <c r="BE102" i="41" s="1"/>
  <c r="S53" i="41"/>
  <c r="R22" i="65"/>
  <c r="R92" i="65" s="1"/>
  <c r="R76" i="41"/>
  <c r="BD102" i="41" s="1"/>
  <c r="R53" i="41"/>
  <c r="K117" i="74"/>
  <c r="K149" i="74" s="1"/>
  <c r="P117" i="74"/>
  <c r="P149" i="74" s="1"/>
  <c r="S117" i="74"/>
  <c r="S149" i="74" s="1"/>
  <c r="V117" i="74"/>
  <c r="V149" i="74" s="1"/>
  <c r="O117" i="74"/>
  <c r="O149" i="74" s="1"/>
  <c r="AA117" i="74"/>
  <c r="AA149" i="74" s="1"/>
  <c r="Z117" i="74"/>
  <c r="Z149" i="74" s="1"/>
  <c r="Q117" i="74"/>
  <c r="Q149" i="74" s="1"/>
  <c r="M117" i="74"/>
  <c r="M149" i="74" s="1"/>
  <c r="X117" i="74"/>
  <c r="X149" i="74" s="1"/>
  <c r="W117" i="74"/>
  <c r="W149" i="74" s="1"/>
  <c r="N117" i="74"/>
  <c r="N149" i="74" s="1"/>
  <c r="U117" i="74"/>
  <c r="U149" i="74" s="1"/>
  <c r="T117" i="74"/>
  <c r="T149" i="74" s="1"/>
  <c r="AB117" i="74"/>
  <c r="AB149" i="74" s="1"/>
  <c r="Y117" i="74"/>
  <c r="Y149" i="74" s="1"/>
  <c r="R117" i="74"/>
  <c r="R149" i="74" s="1"/>
  <c r="Q115" i="74"/>
  <c r="Q147" i="74" s="1"/>
  <c r="O115" i="74"/>
  <c r="O147" i="74" s="1"/>
  <c r="AB115" i="74"/>
  <c r="AB147" i="74" s="1"/>
  <c r="R115" i="74"/>
  <c r="R147" i="74" s="1"/>
  <c r="Y115" i="74"/>
  <c r="Y147" i="74" s="1"/>
  <c r="V115" i="74"/>
  <c r="V147" i="74" s="1"/>
  <c r="S115" i="74"/>
  <c r="S147" i="74" s="1"/>
  <c r="M115" i="74"/>
  <c r="M147" i="74" s="1"/>
  <c r="W115" i="74"/>
  <c r="W147" i="74" s="1"/>
  <c r="N115" i="74"/>
  <c r="N147" i="74" s="1"/>
  <c r="P115" i="74"/>
  <c r="P147" i="74" s="1"/>
  <c r="K115" i="74"/>
  <c r="K147" i="74" s="1"/>
  <c r="T115" i="74"/>
  <c r="T147" i="74" s="1"/>
  <c r="Z115" i="74"/>
  <c r="Z147" i="74" s="1"/>
  <c r="X115" i="74"/>
  <c r="X147" i="74" s="1"/>
  <c r="AA115" i="74"/>
  <c r="AA147" i="74" s="1"/>
  <c r="U115" i="74"/>
  <c r="U147" i="74" s="1"/>
  <c r="V76" i="41"/>
  <c r="BH102" i="41" s="1"/>
  <c r="V53" i="41"/>
  <c r="V22" i="65"/>
  <c r="V92" i="65" s="1"/>
  <c r="L21" i="65"/>
  <c r="L75" i="41"/>
  <c r="AE102" i="41" s="1"/>
  <c r="L52" i="41"/>
  <c r="T20" i="65"/>
  <c r="T74" i="41"/>
  <c r="T102" i="41" s="1"/>
  <c r="T51" i="41"/>
  <c r="N20" i="65"/>
  <c r="N74" i="41"/>
  <c r="N102" i="41" s="1"/>
  <c r="N51" i="41"/>
  <c r="P26" i="65"/>
  <c r="P96" i="65" s="1"/>
  <c r="P57" i="41"/>
  <c r="Y57" i="41"/>
  <c r="Y26" i="65"/>
  <c r="Y96" i="65" s="1"/>
  <c r="S256" i="73"/>
  <c r="S24" i="41" s="1"/>
  <c r="R25" i="65"/>
  <c r="R95" i="65" s="1"/>
  <c r="R56" i="41"/>
  <c r="Q256" i="73"/>
  <c r="Q24" i="41" s="1"/>
  <c r="L256" i="73"/>
  <c r="L24" i="41" s="1"/>
  <c r="O26" i="65"/>
  <c r="O96" i="65" s="1"/>
  <c r="O57" i="41"/>
  <c r="Z22" i="65"/>
  <c r="Z92" i="65" s="1"/>
  <c r="Z103" i="65" s="1"/>
  <c r="Z132" i="65" s="1"/>
  <c r="Z76" i="41"/>
  <c r="BL102" i="41" s="1"/>
  <c r="Z53" i="41"/>
  <c r="V74" i="41"/>
  <c r="V102" i="41" s="1"/>
  <c r="V51" i="41"/>
  <c r="V20" i="65"/>
  <c r="V90" i="65" s="1"/>
  <c r="P20" i="65"/>
  <c r="P74" i="41"/>
  <c r="P102" i="41" s="1"/>
  <c r="P51" i="41"/>
  <c r="Q21" i="65"/>
  <c r="Q91" i="65" s="1"/>
  <c r="Q75" i="41"/>
  <c r="AJ102" i="41" s="1"/>
  <c r="Q52" i="41"/>
  <c r="L119" i="74"/>
  <c r="L151" i="74" s="1"/>
  <c r="J119" i="74"/>
  <c r="J151" i="74" s="1"/>
  <c r="N106" i="65"/>
  <c r="N135" i="65" s="1"/>
  <c r="N124" i="65"/>
  <c r="N153" i="65" s="1"/>
  <c r="N115" i="65"/>
  <c r="N144" i="65" s="1"/>
  <c r="N37" i="82"/>
  <c r="P55" i="41" l="1"/>
  <c r="N55" i="41"/>
  <c r="R55" i="41"/>
  <c r="R161" i="74"/>
  <c r="R23" i="41" s="1"/>
  <c r="R54" i="41" s="1"/>
  <c r="V119" i="65"/>
  <c r="V148" i="65" s="1"/>
  <c r="V101" i="65"/>
  <c r="V130" i="65" s="1"/>
  <c r="V32" i="82"/>
  <c r="S24" i="65"/>
  <c r="S94" i="65" s="1"/>
  <c r="S55" i="41"/>
  <c r="P107" i="65"/>
  <c r="P136" i="65" s="1"/>
  <c r="P125" i="65"/>
  <c r="P154" i="65" s="1"/>
  <c r="P38" i="82"/>
  <c r="AB51" i="105"/>
  <c r="AB90" i="105" s="1"/>
  <c r="N59" i="105"/>
  <c r="Z47" i="105"/>
  <c r="Z86" i="105" s="1"/>
  <c r="N68" i="105"/>
  <c r="R103" i="65"/>
  <c r="R132" i="65" s="1"/>
  <c r="R121" i="65"/>
  <c r="R150" i="65" s="1"/>
  <c r="R34" i="82"/>
  <c r="M106" i="65"/>
  <c r="M135" i="65" s="1"/>
  <c r="M124" i="65"/>
  <c r="M153" i="65" s="1"/>
  <c r="M115" i="65"/>
  <c r="M144" i="65" s="1"/>
  <c r="M37" i="82"/>
  <c r="Y119" i="65"/>
  <c r="Y148" i="65" s="1"/>
  <c r="Y101" i="65"/>
  <c r="Y130" i="65" s="1"/>
  <c r="X32" i="82"/>
  <c r="N105" i="65"/>
  <c r="N134" i="65" s="1"/>
  <c r="N123" i="65"/>
  <c r="N152" i="65" s="1"/>
  <c r="N114" i="65"/>
  <c r="N143" i="65" s="1"/>
  <c r="N36" i="82"/>
  <c r="AB45" i="105"/>
  <c r="AB84" i="105" s="1"/>
  <c r="H52" i="41"/>
  <c r="W110" i="65"/>
  <c r="W139" i="65" s="1"/>
  <c r="W119" i="65"/>
  <c r="W148" i="65" s="1"/>
  <c r="W101" i="65"/>
  <c r="W130" i="65" s="1"/>
  <c r="W32" i="82"/>
  <c r="Z45" i="105"/>
  <c r="Z84" i="105" s="1"/>
  <c r="AA161" i="74"/>
  <c r="AA23" i="41" s="1"/>
  <c r="K161" i="74"/>
  <c r="K23" i="41" s="1"/>
  <c r="P161" i="74"/>
  <c r="P23" i="41" s="1"/>
  <c r="X161" i="74"/>
  <c r="X23" i="41" s="1"/>
  <c r="AA101" i="65"/>
  <c r="AA130" i="65" s="1"/>
  <c r="AA119" i="65"/>
  <c r="AA148" i="65" s="1"/>
  <c r="Y32" i="82"/>
  <c r="AA103" i="65"/>
  <c r="AA132" i="65" s="1"/>
  <c r="AA121" i="65"/>
  <c r="AA150" i="65" s="1"/>
  <c r="Y34" i="82"/>
  <c r="J114" i="74"/>
  <c r="J146" i="74" s="1"/>
  <c r="J161" i="74" s="1"/>
  <c r="J23" i="41" s="1"/>
  <c r="L114" i="74"/>
  <c r="L146" i="74" s="1"/>
  <c r="L161" i="74" s="1"/>
  <c r="L23" i="41" s="1"/>
  <c r="N50" i="105"/>
  <c r="N89" i="105" s="1"/>
  <c r="O107" i="65"/>
  <c r="O136" i="65" s="1"/>
  <c r="O125" i="65"/>
  <c r="O154" i="65" s="1"/>
  <c r="O38" i="82"/>
  <c r="R106" i="65"/>
  <c r="R135" i="65" s="1"/>
  <c r="R37" i="82"/>
  <c r="R124" i="65"/>
  <c r="R153" i="65" s="1"/>
  <c r="AA107" i="65"/>
  <c r="AA136" i="65" s="1"/>
  <c r="AA125" i="65"/>
  <c r="AA154" i="65" s="1"/>
  <c r="Y38" i="82"/>
  <c r="K106" i="65"/>
  <c r="K135" i="65" s="1"/>
  <c r="K115" i="65"/>
  <c r="K144" i="65" s="1"/>
  <c r="K124" i="65"/>
  <c r="K153" i="65" s="1"/>
  <c r="K37" i="82"/>
  <c r="V102" i="65"/>
  <c r="V131" i="65" s="1"/>
  <c r="V120" i="65"/>
  <c r="V149" i="65" s="1"/>
  <c r="V33" i="82"/>
  <c r="J55" i="41"/>
  <c r="J24" i="65"/>
  <c r="J94" i="65" s="1"/>
  <c r="S106" i="65"/>
  <c r="S135" i="65" s="1"/>
  <c r="S37" i="82"/>
  <c r="S124" i="65"/>
  <c r="S153" i="65" s="1"/>
  <c r="X47" i="105"/>
  <c r="X86" i="105" s="1"/>
  <c r="P106" i="65"/>
  <c r="P135" i="65" s="1"/>
  <c r="P124" i="65"/>
  <c r="P153" i="65" s="1"/>
  <c r="P37" i="82"/>
  <c r="J106" i="65"/>
  <c r="J135" i="65" s="1"/>
  <c r="J37" i="82"/>
  <c r="J124" i="65"/>
  <c r="J153" i="65" s="1"/>
  <c r="J115" i="65"/>
  <c r="J144" i="65" s="1"/>
  <c r="W107" i="65"/>
  <c r="W136" i="65" s="1"/>
  <c r="W125" i="65"/>
  <c r="W154" i="65" s="1"/>
  <c r="W116" i="65"/>
  <c r="W145" i="65" s="1"/>
  <c r="W38" i="82"/>
  <c r="AB47" i="105"/>
  <c r="AB86" i="105" s="1"/>
  <c r="S102" i="65"/>
  <c r="S131" i="65" s="1"/>
  <c r="S120" i="65"/>
  <c r="S149" i="65" s="1"/>
  <c r="S33" i="82"/>
  <c r="M107" i="65"/>
  <c r="M136" i="65" s="1"/>
  <c r="M116" i="65"/>
  <c r="M145" i="65" s="1"/>
  <c r="M38" i="82"/>
  <c r="M125" i="65"/>
  <c r="M154" i="65" s="1"/>
  <c r="N161" i="74"/>
  <c r="N23" i="41" s="1"/>
  <c r="M161" i="74"/>
  <c r="M23" i="41" s="1"/>
  <c r="O161" i="74"/>
  <c r="O23" i="41" s="1"/>
  <c r="AB161" i="74"/>
  <c r="AB23" i="41" s="1"/>
  <c r="T106" i="65"/>
  <c r="T135" i="65" s="1"/>
  <c r="T115" i="65"/>
  <c r="T144" i="65" s="1"/>
  <c r="T124" i="65"/>
  <c r="T153" i="65" s="1"/>
  <c r="T37" i="82"/>
  <c r="W102" i="65"/>
  <c r="W131" i="65" s="1"/>
  <c r="W111" i="65"/>
  <c r="W140" i="65" s="1"/>
  <c r="W120" i="65"/>
  <c r="W149" i="65" s="1"/>
  <c r="W33" i="82"/>
  <c r="S101" i="65"/>
  <c r="S130" i="65" s="1"/>
  <c r="S119" i="65"/>
  <c r="S148" i="65" s="1"/>
  <c r="S32" i="82"/>
  <c r="K107" i="65"/>
  <c r="K136" i="65" s="1"/>
  <c r="K116" i="65"/>
  <c r="K145" i="65" s="1"/>
  <c r="K125" i="65"/>
  <c r="K154" i="65" s="1"/>
  <c r="K38" i="82"/>
  <c r="H223" i="71" a="1"/>
  <c r="H223" i="71" s="1"/>
  <c r="X46" i="105"/>
  <c r="X85" i="105" s="1"/>
  <c r="R119" i="65"/>
  <c r="R148" i="65" s="1"/>
  <c r="R101" i="65"/>
  <c r="R130" i="65" s="1"/>
  <c r="R32" i="82"/>
  <c r="Q32" i="82"/>
  <c r="Q110" i="65"/>
  <c r="Q139" i="65" s="1"/>
  <c r="Q101" i="65"/>
  <c r="Q130" i="65" s="1"/>
  <c r="Q119" i="65"/>
  <c r="Q148" i="65" s="1"/>
  <c r="A4" i="83"/>
  <c r="J46" i="55"/>
  <c r="Z46" i="105"/>
  <c r="Z85" i="105" s="1"/>
  <c r="T107" i="65"/>
  <c r="T136" i="65" s="1"/>
  <c r="T125" i="65"/>
  <c r="T154" i="65" s="1"/>
  <c r="T116" i="65"/>
  <c r="T145" i="65" s="1"/>
  <c r="T38" i="82"/>
  <c r="R105" i="65"/>
  <c r="R134" i="65" s="1"/>
  <c r="R123" i="65"/>
  <c r="R152" i="65" s="1"/>
  <c r="R36" i="82"/>
  <c r="U161" i="74"/>
  <c r="U23" i="41" s="1"/>
  <c r="V161" i="74"/>
  <c r="V23" i="41" s="1"/>
  <c r="S161" i="74"/>
  <c r="S23" i="41" s="1"/>
  <c r="O106" i="65"/>
  <c r="O135" i="65" s="1"/>
  <c r="O124" i="65"/>
  <c r="O153" i="65" s="1"/>
  <c r="O37" i="82"/>
  <c r="M24" i="65"/>
  <c r="M94" i="65" s="1"/>
  <c r="M55" i="41"/>
  <c r="T24" i="65"/>
  <c r="T94" i="65" s="1"/>
  <c r="T55" i="41"/>
  <c r="Q103" i="65"/>
  <c r="Q132" i="65" s="1"/>
  <c r="Q121" i="65"/>
  <c r="Q150" i="65" s="1"/>
  <c r="Q112" i="65"/>
  <c r="Q141" i="65" s="1"/>
  <c r="Q34" i="82"/>
  <c r="Y102" i="65"/>
  <c r="Y131" i="65" s="1"/>
  <c r="Y120" i="65"/>
  <c r="Y149" i="65" s="1"/>
  <c r="X33" i="82"/>
  <c r="H291" i="73" a="1"/>
  <c r="H291" i="73" s="1"/>
  <c r="H295" i="73" s="1"/>
  <c r="S103" i="65"/>
  <c r="S132" i="65" s="1"/>
  <c r="S121" i="65"/>
  <c r="S150" i="65" s="1"/>
  <c r="S34" i="82"/>
  <c r="AB46" i="105"/>
  <c r="AB85" i="105" s="1"/>
  <c r="L106" i="65"/>
  <c r="L135" i="65" s="1"/>
  <c r="L115" i="65"/>
  <c r="L144" i="65" s="1"/>
  <c r="L124" i="65"/>
  <c r="L153" i="65" s="1"/>
  <c r="L37" i="82"/>
  <c r="V107" i="65"/>
  <c r="V136" i="65" s="1"/>
  <c r="V125" i="65"/>
  <c r="V154" i="65" s="1"/>
  <c r="V38" i="82"/>
  <c r="U103" i="65"/>
  <c r="U132" i="65" s="1"/>
  <c r="U121" i="65"/>
  <c r="U150" i="65" s="1"/>
  <c r="U112" i="65"/>
  <c r="U141" i="65" s="1"/>
  <c r="U34" i="82"/>
  <c r="J20" i="65"/>
  <c r="J74" i="41"/>
  <c r="J102" i="41" s="1"/>
  <c r="BI109" i="41" s="1"/>
  <c r="J51" i="41"/>
  <c r="U101" i="65"/>
  <c r="U130" i="65" s="1"/>
  <c r="U119" i="65"/>
  <c r="U148" i="65" s="1"/>
  <c r="U110" i="65"/>
  <c r="U139" i="65" s="1"/>
  <c r="U32" i="82"/>
  <c r="X45" i="105"/>
  <c r="X84" i="105" s="1"/>
  <c r="Q106" i="65"/>
  <c r="Q135" i="65" s="1"/>
  <c r="Q124" i="65"/>
  <c r="Q153" i="65" s="1"/>
  <c r="Q115" i="65"/>
  <c r="Q144" i="65" s="1"/>
  <c r="Q37" i="82"/>
  <c r="U102" i="65"/>
  <c r="U131" i="65" s="1"/>
  <c r="U120" i="65"/>
  <c r="U149" i="65" s="1"/>
  <c r="U111" i="65"/>
  <c r="U140" i="65" s="1"/>
  <c r="U33" i="82"/>
  <c r="P105" i="65"/>
  <c r="P134" i="65" s="1"/>
  <c r="P36" i="82"/>
  <c r="P123" i="65"/>
  <c r="P152" i="65" s="1"/>
  <c r="J125" i="65"/>
  <c r="J154" i="65" s="1"/>
  <c r="J116" i="65"/>
  <c r="J145" i="65" s="1"/>
  <c r="J107" i="65"/>
  <c r="J136" i="65" s="1"/>
  <c r="J38" i="82"/>
  <c r="S107" i="65"/>
  <c r="S136" i="65" s="1"/>
  <c r="S125" i="65"/>
  <c r="S154" i="65" s="1"/>
  <c r="S38" i="82"/>
  <c r="W103" i="65"/>
  <c r="W132" i="65" s="1"/>
  <c r="W121" i="65"/>
  <c r="W150" i="65" s="1"/>
  <c r="W112" i="65"/>
  <c r="W141" i="65" s="1"/>
  <c r="W34" i="82"/>
  <c r="L107" i="65"/>
  <c r="L136" i="65" s="1"/>
  <c r="L125" i="65"/>
  <c r="L154" i="65" s="1"/>
  <c r="L116" i="65"/>
  <c r="L145" i="65" s="1"/>
  <c r="L38" i="82"/>
  <c r="K24" i="65"/>
  <c r="K94" i="65" s="1"/>
  <c r="K55" i="41"/>
  <c r="Z51" i="105"/>
  <c r="Z90" i="105" s="1"/>
  <c r="Q161" i="74"/>
  <c r="Q23" i="41" s="1"/>
  <c r="Y161" i="74"/>
  <c r="Y23" i="41" s="1"/>
  <c r="Z161" i="74"/>
  <c r="Z23" i="41" s="1"/>
  <c r="W161" i="74"/>
  <c r="W23" i="41" s="1"/>
  <c r="R102" i="65"/>
  <c r="R131" i="65" s="1"/>
  <c r="R120" i="65"/>
  <c r="R149" i="65" s="1"/>
  <c r="R33" i="82"/>
  <c r="X51" i="105"/>
  <c r="X90" i="105" s="1"/>
  <c r="Y103" i="65"/>
  <c r="Y132" i="65" s="1"/>
  <c r="Y121" i="65"/>
  <c r="Y150" i="65" s="1"/>
  <c r="X34" i="82"/>
  <c r="O55" i="41"/>
  <c r="O24" i="65"/>
  <c r="O94" i="65" s="1"/>
  <c r="Q102" i="65"/>
  <c r="Q131" i="65" s="1"/>
  <c r="Q33" i="82"/>
  <c r="Q120" i="65"/>
  <c r="Q149" i="65" s="1"/>
  <c r="Q111" i="65"/>
  <c r="Q140" i="65" s="1"/>
  <c r="L24" i="65"/>
  <c r="L94" i="65" s="1"/>
  <c r="L55" i="41"/>
  <c r="Q24" i="65"/>
  <c r="Q94" i="65" s="1"/>
  <c r="Q55" i="41"/>
  <c r="Y107" i="65"/>
  <c r="Y136" i="65" s="1"/>
  <c r="Y125" i="65"/>
  <c r="Y154" i="65" s="1"/>
  <c r="X38" i="82"/>
  <c r="V103" i="65"/>
  <c r="V132" i="65" s="1"/>
  <c r="V121" i="65"/>
  <c r="V150" i="65" s="1"/>
  <c r="V34" i="82"/>
  <c r="Q107" i="65"/>
  <c r="Q136" i="65" s="1"/>
  <c r="Q116" i="65"/>
  <c r="Q145" i="65" s="1"/>
  <c r="Q125" i="65"/>
  <c r="Q154" i="65" s="1"/>
  <c r="Q38" i="82"/>
  <c r="AA102" i="65"/>
  <c r="AA131" i="65" s="1"/>
  <c r="AA120" i="65"/>
  <c r="AA149" i="65" s="1"/>
  <c r="Y33" i="82"/>
  <c r="H53" i="41"/>
  <c r="N107" i="65"/>
  <c r="N136" i="65" s="1"/>
  <c r="N125" i="65"/>
  <c r="N154" i="65" s="1"/>
  <c r="N116" i="65"/>
  <c r="N145" i="65" s="1"/>
  <c r="N38" i="82"/>
  <c r="R107" i="65"/>
  <c r="R136" i="65" s="1"/>
  <c r="R38" i="82"/>
  <c r="R125" i="65"/>
  <c r="R154" i="65" s="1"/>
  <c r="H56" i="41"/>
  <c r="U107" i="65"/>
  <c r="U136" i="65" s="1"/>
  <c r="U125" i="65"/>
  <c r="U154" i="65" s="1"/>
  <c r="U116" i="65"/>
  <c r="U145" i="65" s="1"/>
  <c r="U38" i="82"/>
  <c r="H57" i="41"/>
  <c r="T161" i="74"/>
  <c r="T23" i="41" s="1"/>
  <c r="A4" i="72"/>
  <c r="J49" i="55"/>
  <c r="R23" i="65" l="1"/>
  <c r="R93" i="65" s="1"/>
  <c r="R104" i="65" s="1"/>
  <c r="R133" i="65" s="1"/>
  <c r="R58" i="41"/>
  <c r="AN109" i="41"/>
  <c r="BL109" i="41"/>
  <c r="AD109" i="41"/>
  <c r="Z109" i="41"/>
  <c r="AU109" i="41"/>
  <c r="T109" i="41"/>
  <c r="V109" i="41"/>
  <c r="BE109" i="41"/>
  <c r="AB109" i="41"/>
  <c r="AZ109" i="41"/>
  <c r="BJ109" i="41"/>
  <c r="BH109" i="41"/>
  <c r="AR109" i="41"/>
  <c r="AP109" i="41"/>
  <c r="BA109" i="41"/>
  <c r="X109" i="41"/>
  <c r="N109" i="41"/>
  <c r="AO109" i="41"/>
  <c r="O109" i="41"/>
  <c r="AW109" i="41"/>
  <c r="BD109" i="41"/>
  <c r="AA109" i="41"/>
  <c r="W109" i="41"/>
  <c r="AQ109" i="41"/>
  <c r="AF109" i="41"/>
  <c r="BB109" i="41"/>
  <c r="BG109" i="41"/>
  <c r="AG109" i="41"/>
  <c r="AY109" i="41"/>
  <c r="K109" i="41"/>
  <c r="Y109" i="41"/>
  <c r="N60" i="105"/>
  <c r="AA46" i="105"/>
  <c r="AA85" i="105" s="1"/>
  <c r="Q51" i="105"/>
  <c r="Q90" i="105" s="1"/>
  <c r="T23" i="65"/>
  <c r="T93" i="65" s="1"/>
  <c r="T54" i="41"/>
  <c r="T58" i="41" s="1"/>
  <c r="U51" i="105"/>
  <c r="U90" i="105" s="1"/>
  <c r="AA64" i="105"/>
  <c r="Q60" i="105"/>
  <c r="V47" i="105"/>
  <c r="V86" i="105" s="1"/>
  <c r="Y51" i="105"/>
  <c r="Y90" i="105" s="1"/>
  <c r="Q46" i="105"/>
  <c r="Q85" i="105" s="1"/>
  <c r="O105" i="65"/>
  <c r="O134" i="65" s="1"/>
  <c r="O123" i="65"/>
  <c r="O152" i="65" s="1"/>
  <c r="O36" i="82"/>
  <c r="Y65" i="105"/>
  <c r="H165" i="74" a="1"/>
  <c r="H165" i="74" s="1"/>
  <c r="R46" i="105"/>
  <c r="R85" i="105" s="1"/>
  <c r="Q23" i="65"/>
  <c r="Q93" i="65" s="1"/>
  <c r="Q54" i="41"/>
  <c r="Q58" i="41" s="1"/>
  <c r="L51" i="105"/>
  <c r="L90" i="105" s="1"/>
  <c r="W65" i="105"/>
  <c r="S51" i="105"/>
  <c r="S90" i="105" s="1"/>
  <c r="J69" i="105"/>
  <c r="U64" i="105"/>
  <c r="Q59" i="105"/>
  <c r="U63" i="105"/>
  <c r="U47" i="105"/>
  <c r="U86" i="105" s="1"/>
  <c r="S47" i="105"/>
  <c r="S86" i="105" s="1"/>
  <c r="Y64" i="105"/>
  <c r="Q56" i="105"/>
  <c r="T105" i="65"/>
  <c r="T134" i="65" s="1"/>
  <c r="T123" i="65"/>
  <c r="T152" i="65" s="1"/>
  <c r="T114" i="65"/>
  <c r="T143" i="65" s="1"/>
  <c r="T36" i="82"/>
  <c r="O68" i="105"/>
  <c r="S23" i="65"/>
  <c r="S93" i="65" s="1"/>
  <c r="S54" i="41"/>
  <c r="S58" i="41" s="1"/>
  <c r="T60" i="105"/>
  <c r="R63" i="105"/>
  <c r="AM109" i="41"/>
  <c r="AT109" i="41"/>
  <c r="K60" i="105"/>
  <c r="S45" i="105"/>
  <c r="S84" i="105" s="1"/>
  <c r="W55" i="105"/>
  <c r="T68" i="105"/>
  <c r="N23" i="65"/>
  <c r="N93" i="65" s="1"/>
  <c r="N54" i="41"/>
  <c r="N58" i="41" s="1"/>
  <c r="M51" i="105"/>
  <c r="M90" i="105" s="1"/>
  <c r="W51" i="105"/>
  <c r="W90" i="105" s="1"/>
  <c r="P50" i="105"/>
  <c r="P89" i="105" s="1"/>
  <c r="J123" i="65"/>
  <c r="J152" i="65" s="1"/>
  <c r="J36" i="82"/>
  <c r="J105" i="65"/>
  <c r="J134" i="65" s="1"/>
  <c r="J114" i="65"/>
  <c r="J143" i="65" s="1"/>
  <c r="AV109" i="41"/>
  <c r="V64" i="105"/>
  <c r="K59" i="105"/>
  <c r="AA51" i="105"/>
  <c r="AA90" i="105" s="1"/>
  <c r="R68" i="105"/>
  <c r="O69" i="105"/>
  <c r="BK109" i="41"/>
  <c r="AA23" i="65"/>
  <c r="AA93" i="65" s="1"/>
  <c r="AA54" i="41"/>
  <c r="AA58" i="41" s="1"/>
  <c r="BN109" i="41"/>
  <c r="L109" i="41"/>
  <c r="N49" i="105"/>
  <c r="N88" i="105" s="1"/>
  <c r="Y45" i="105"/>
  <c r="Y84" i="105" s="1"/>
  <c r="N186" i="105"/>
  <c r="N109" i="105"/>
  <c r="S105" i="65"/>
  <c r="S134" i="65" s="1"/>
  <c r="S123" i="65"/>
  <c r="S152" i="65" s="1"/>
  <c r="S36" i="82"/>
  <c r="R69" i="105"/>
  <c r="Q55" i="105"/>
  <c r="Y47" i="105"/>
  <c r="Y86" i="105" s="1"/>
  <c r="W23" i="65"/>
  <c r="W93" i="65" s="1"/>
  <c r="W54" i="41"/>
  <c r="W58" i="41" s="1"/>
  <c r="W47" i="105"/>
  <c r="W86" i="105" s="1"/>
  <c r="P49" i="105"/>
  <c r="P88" i="105" s="1"/>
  <c r="U46" i="105"/>
  <c r="U85" i="105" s="1"/>
  <c r="Q68" i="105"/>
  <c r="U45" i="105"/>
  <c r="U84" i="105" s="1"/>
  <c r="J48" i="55"/>
  <c r="A4" i="71"/>
  <c r="K51" i="105"/>
  <c r="K90" i="105" s="1"/>
  <c r="BC109" i="41"/>
  <c r="W46" i="105"/>
  <c r="W85" i="105" s="1"/>
  <c r="T59" i="105"/>
  <c r="AB23" i="65"/>
  <c r="AB93" i="65" s="1"/>
  <c r="AB104" i="65" s="1"/>
  <c r="AB133" i="65" s="1"/>
  <c r="AB54" i="41"/>
  <c r="AB58" i="41" s="1"/>
  <c r="M69" i="105"/>
  <c r="AS109" i="41"/>
  <c r="Q109" i="41"/>
  <c r="J50" i="105"/>
  <c r="J89" i="105" s="1"/>
  <c r="S68" i="105"/>
  <c r="H55" i="41"/>
  <c r="V46" i="105"/>
  <c r="V85" i="105" s="1"/>
  <c r="K50" i="105"/>
  <c r="K89" i="105" s="1"/>
  <c r="BF109" i="41"/>
  <c r="O51" i="105"/>
  <c r="O90" i="105" s="1"/>
  <c r="AH109" i="41"/>
  <c r="AA63" i="105"/>
  <c r="X23" i="65"/>
  <c r="X93" i="65" s="1"/>
  <c r="X104" i="65" s="1"/>
  <c r="X133" i="65" s="1"/>
  <c r="X54" i="41"/>
  <c r="X58" i="41" s="1"/>
  <c r="W45" i="105"/>
  <c r="W84" i="105" s="1"/>
  <c r="Y63" i="105"/>
  <c r="M59" i="105"/>
  <c r="R65" i="105"/>
  <c r="P69" i="105"/>
  <c r="L68" i="105"/>
  <c r="Y46" i="105"/>
  <c r="Y85" i="105" s="1"/>
  <c r="Q65" i="105"/>
  <c r="O50" i="105"/>
  <c r="O89" i="105" s="1"/>
  <c r="V23" i="65"/>
  <c r="V93" i="65" s="1"/>
  <c r="V54" i="41"/>
  <c r="V58" i="41" s="1"/>
  <c r="R67" i="105"/>
  <c r="T69" i="105"/>
  <c r="Q63" i="105"/>
  <c r="U60" i="105"/>
  <c r="N69" i="105"/>
  <c r="Q105" i="65"/>
  <c r="Q134" i="65" s="1"/>
  <c r="Q123" i="65"/>
  <c r="Q152" i="65" s="1"/>
  <c r="Q114" i="65"/>
  <c r="Q143" i="65" s="1"/>
  <c r="Q36" i="82"/>
  <c r="Q64" i="105"/>
  <c r="Z23" i="65"/>
  <c r="Z93" i="65" s="1"/>
  <c r="Z104" i="65" s="1"/>
  <c r="Z133" i="65" s="1"/>
  <c r="Z54" i="41"/>
  <c r="Z58" i="41" s="1"/>
  <c r="K105" i="65"/>
  <c r="K134" i="65" s="1"/>
  <c r="K123" i="65"/>
  <c r="K152" i="65" s="1"/>
  <c r="K114" i="65"/>
  <c r="K143" i="65" s="1"/>
  <c r="K36" i="82"/>
  <c r="L60" i="105"/>
  <c r="J51" i="105"/>
  <c r="J90" i="105" s="1"/>
  <c r="Q50" i="105"/>
  <c r="Q89" i="105" s="1"/>
  <c r="H51" i="41"/>
  <c r="U56" i="105"/>
  <c r="V69" i="105"/>
  <c r="L59" i="105"/>
  <c r="O23" i="65"/>
  <c r="O93" i="65" s="1"/>
  <c r="O54" i="41"/>
  <c r="O58" i="41" s="1"/>
  <c r="L23" i="65"/>
  <c r="L93" i="65" s="1"/>
  <c r="L54" i="41"/>
  <c r="L58" i="41" s="1"/>
  <c r="AA65" i="105"/>
  <c r="AA45" i="105"/>
  <c r="AA84" i="105" s="1"/>
  <c r="P54" i="41"/>
  <c r="P58" i="41" s="1"/>
  <c r="P23" i="65"/>
  <c r="P93" i="65" s="1"/>
  <c r="N58" i="105"/>
  <c r="M68" i="105"/>
  <c r="R47" i="105"/>
  <c r="R86" i="105" s="1"/>
  <c r="N175" i="105"/>
  <c r="N99" i="105"/>
  <c r="V45" i="105"/>
  <c r="V84" i="105" s="1"/>
  <c r="J50" i="55"/>
  <c r="A4" i="73"/>
  <c r="Q47" i="105"/>
  <c r="Q86" i="105" s="1"/>
  <c r="M105" i="65"/>
  <c r="M134" i="65" s="1"/>
  <c r="M36" i="82"/>
  <c r="M114" i="65"/>
  <c r="M143" i="65" s="1"/>
  <c r="M123" i="65"/>
  <c r="M152" i="65" s="1"/>
  <c r="U23" i="65"/>
  <c r="U93" i="65" s="1"/>
  <c r="U54" i="41"/>
  <c r="U58" i="41" s="1"/>
  <c r="R49" i="105"/>
  <c r="R88" i="105" s="1"/>
  <c r="T51" i="105"/>
  <c r="T90" i="105" s="1"/>
  <c r="Q45" i="105"/>
  <c r="Q84" i="105" s="1"/>
  <c r="T50" i="105"/>
  <c r="T89" i="105" s="1"/>
  <c r="S64" i="105"/>
  <c r="W60" i="105"/>
  <c r="J59" i="105"/>
  <c r="R50" i="105"/>
  <c r="R89" i="105" s="1"/>
  <c r="W63" i="105"/>
  <c r="P51" i="105"/>
  <c r="P90" i="105" s="1"/>
  <c r="U69" i="105"/>
  <c r="R51" i="105"/>
  <c r="R90" i="105" s="1"/>
  <c r="N51" i="105"/>
  <c r="N90" i="105" s="1"/>
  <c r="Q69" i="105"/>
  <c r="V65" i="105"/>
  <c r="Y69" i="105"/>
  <c r="L105" i="65"/>
  <c r="L134" i="65" s="1"/>
  <c r="L123" i="65"/>
  <c r="L152" i="65" s="1"/>
  <c r="L114" i="65"/>
  <c r="L143" i="65" s="1"/>
  <c r="L36" i="82"/>
  <c r="R64" i="105"/>
  <c r="Y54" i="41"/>
  <c r="Y58" i="41" s="1"/>
  <c r="Y23" i="65"/>
  <c r="Y93" i="65" s="1"/>
  <c r="L69" i="105"/>
  <c r="W56" i="105"/>
  <c r="S69" i="105"/>
  <c r="J60" i="105"/>
  <c r="P67" i="105"/>
  <c r="U55" i="105"/>
  <c r="U54" i="105"/>
  <c r="J109" i="41"/>
  <c r="U65" i="105"/>
  <c r="V51" i="105"/>
  <c r="V90" i="105" s="1"/>
  <c r="L50" i="105"/>
  <c r="L89" i="105" s="1"/>
  <c r="S65" i="105"/>
  <c r="AK109" i="41"/>
  <c r="AI109" i="41"/>
  <c r="Q54" i="105"/>
  <c r="R45" i="105"/>
  <c r="R84" i="105" s="1"/>
  <c r="AX109" i="41"/>
  <c r="K69" i="105"/>
  <c r="S63" i="105"/>
  <c r="W64" i="105"/>
  <c r="BM109" i="41"/>
  <c r="M54" i="41"/>
  <c r="M58" i="41" s="1"/>
  <c r="M23" i="65"/>
  <c r="M93" i="65" s="1"/>
  <c r="M60" i="105"/>
  <c r="S46" i="105"/>
  <c r="S85" i="105" s="1"/>
  <c r="AC109" i="41"/>
  <c r="W69" i="105"/>
  <c r="J68" i="105"/>
  <c r="P68" i="105"/>
  <c r="R109" i="41"/>
  <c r="S50" i="105"/>
  <c r="S89" i="105" s="1"/>
  <c r="U109" i="41"/>
  <c r="K68" i="105"/>
  <c r="AA69" i="105"/>
  <c r="AJ109" i="41"/>
  <c r="S109" i="41"/>
  <c r="J54" i="41"/>
  <c r="J58" i="41" s="1"/>
  <c r="J23" i="65"/>
  <c r="J93" i="65" s="1"/>
  <c r="AA47" i="105"/>
  <c r="AA86" i="105" s="1"/>
  <c r="K54" i="41"/>
  <c r="K58" i="41" s="1"/>
  <c r="K23" i="65"/>
  <c r="K93" i="65" s="1"/>
  <c r="AL109" i="41"/>
  <c r="W54" i="105"/>
  <c r="N67" i="105"/>
  <c r="M109" i="41"/>
  <c r="M50" i="105"/>
  <c r="M89" i="105" s="1"/>
  <c r="P109" i="41"/>
  <c r="AE109" i="41"/>
  <c r="V63" i="105"/>
  <c r="R35" i="82" l="1"/>
  <c r="V104" i="105"/>
  <c r="V181" i="105"/>
  <c r="V110" i="105"/>
  <c r="V187" i="105"/>
  <c r="V105" i="105"/>
  <c r="V182" i="105"/>
  <c r="V106" i="105"/>
  <c r="V183" i="105"/>
  <c r="R122" i="65"/>
  <c r="R151" i="65" s="1"/>
  <c r="R66" i="105" s="1"/>
  <c r="P110" i="41"/>
  <c r="N108" i="105"/>
  <c r="N185" i="105"/>
  <c r="AJ110" i="41"/>
  <c r="R110" i="41"/>
  <c r="M104" i="65"/>
  <c r="M133" i="65" s="1"/>
  <c r="M113" i="65"/>
  <c r="M142" i="65" s="1"/>
  <c r="M122" i="65"/>
  <c r="M151" i="65" s="1"/>
  <c r="M35" i="82"/>
  <c r="J110" i="41"/>
  <c r="L67" i="105"/>
  <c r="AZ110" i="41"/>
  <c r="AP110" i="41"/>
  <c r="AH110" i="41"/>
  <c r="Q95" i="105"/>
  <c r="Q171" i="105"/>
  <c r="R187" i="105"/>
  <c r="R110" i="105"/>
  <c r="K176" i="105"/>
  <c r="K100" i="105"/>
  <c r="Q176" i="105"/>
  <c r="Q100" i="105"/>
  <c r="X110" i="41"/>
  <c r="T104" i="65"/>
  <c r="T133" i="65" s="1"/>
  <c r="T122" i="65"/>
  <c r="T151" i="65" s="1"/>
  <c r="T113" i="65"/>
  <c r="T142" i="65" s="1"/>
  <c r="T35" i="82"/>
  <c r="AL110" i="41"/>
  <c r="R105" i="105"/>
  <c r="R182" i="105"/>
  <c r="M58" i="105"/>
  <c r="O104" i="65"/>
  <c r="O133" i="65" s="1"/>
  <c r="O35" i="82"/>
  <c r="O122" i="65"/>
  <c r="O151" i="65" s="1"/>
  <c r="Q172" i="105"/>
  <c r="Q96" i="105"/>
  <c r="S104" i="105"/>
  <c r="S181" i="105"/>
  <c r="U171" i="105"/>
  <c r="U95" i="105"/>
  <c r="J176" i="105"/>
  <c r="J100" i="105"/>
  <c r="W172" i="105"/>
  <c r="W96" i="105"/>
  <c r="AB110" i="41"/>
  <c r="AQ110" i="41"/>
  <c r="M186" i="105"/>
  <c r="M109" i="105"/>
  <c r="H58" i="41"/>
  <c r="Q183" i="105"/>
  <c r="Q106" i="105"/>
  <c r="BD110" i="41"/>
  <c r="P187" i="105"/>
  <c r="P110" i="105"/>
  <c r="M175" i="105"/>
  <c r="M99" i="105"/>
  <c r="X48" i="105"/>
  <c r="X87" i="105" s="1"/>
  <c r="X91" i="105" s="1"/>
  <c r="X162" i="105" s="1"/>
  <c r="S109" i="105"/>
  <c r="S186" i="105"/>
  <c r="Q110" i="41"/>
  <c r="R48" i="105"/>
  <c r="R87" i="105" s="1"/>
  <c r="R91" i="105" s="1"/>
  <c r="R186" i="105"/>
  <c r="R109" i="105"/>
  <c r="K175" i="105"/>
  <c r="K99" i="105"/>
  <c r="AV110" i="41"/>
  <c r="J67" i="105"/>
  <c r="N104" i="65"/>
  <c r="N133" i="65" s="1"/>
  <c r="N113" i="65"/>
  <c r="N142" i="65" s="1"/>
  <c r="N122" i="65"/>
  <c r="N151" i="65" s="1"/>
  <c r="N35" i="82"/>
  <c r="S104" i="65"/>
  <c r="S133" i="65" s="1"/>
  <c r="S35" i="82"/>
  <c r="S122" i="65"/>
  <c r="S151" i="65" s="1"/>
  <c r="T58" i="105"/>
  <c r="A4" i="74"/>
  <c r="J51" i="55"/>
  <c r="O67" i="105"/>
  <c r="BL110" i="41"/>
  <c r="N176" i="105"/>
  <c r="N100" i="105"/>
  <c r="BN110" i="41"/>
  <c r="K104" i="65"/>
  <c r="K133" i="65" s="1"/>
  <c r="K122" i="65"/>
  <c r="K151" i="65" s="1"/>
  <c r="K113" i="65"/>
  <c r="K142" i="65" s="1"/>
  <c r="K35" i="82"/>
  <c r="J104" i="65"/>
  <c r="J133" i="65" s="1"/>
  <c r="J122" i="65"/>
  <c r="J151" i="65" s="1"/>
  <c r="J113" i="65"/>
  <c r="J142" i="65" s="1"/>
  <c r="J35" i="82"/>
  <c r="AA187" i="105"/>
  <c r="AA110" i="105"/>
  <c r="AX110" i="41"/>
  <c r="V110" i="41"/>
  <c r="Q175" i="105"/>
  <c r="Q99" i="105"/>
  <c r="J110" i="105"/>
  <c r="J187" i="105"/>
  <c r="W106" i="105"/>
  <c r="W183" i="105"/>
  <c r="W94" i="105"/>
  <c r="W170" i="105"/>
  <c r="BK119" i="41"/>
  <c r="BG119" i="41"/>
  <c r="AZ119" i="41"/>
  <c r="AV119" i="41"/>
  <c r="AR119" i="41"/>
  <c r="AN119" i="41"/>
  <c r="AK119" i="41"/>
  <c r="AG119" i="41"/>
  <c r="AC119" i="41"/>
  <c r="Y119" i="41"/>
  <c r="U119" i="41"/>
  <c r="Q119" i="41"/>
  <c r="L119" i="41"/>
  <c r="BM119" i="41"/>
  <c r="BL119" i="41"/>
  <c r="BH119" i="41"/>
  <c r="BA119" i="41"/>
  <c r="BN119" i="41"/>
  <c r="BI119" i="41"/>
  <c r="BD119" i="41"/>
  <c r="BC119" i="41"/>
  <c r="AX119" i="41"/>
  <c r="AT119" i="41"/>
  <c r="AP119" i="41"/>
  <c r="AJ119" i="41"/>
  <c r="AE119" i="41"/>
  <c r="AA119" i="41"/>
  <c r="W119" i="41"/>
  <c r="R119" i="41"/>
  <c r="N119" i="41"/>
  <c r="K119" i="41"/>
  <c r="AY119" i="41"/>
  <c r="AQ119" i="41"/>
  <c r="AI119" i="41"/>
  <c r="AB119" i="41"/>
  <c r="O119" i="41"/>
  <c r="BB119" i="41"/>
  <c r="AS119" i="41"/>
  <c r="AL119" i="41"/>
  <c r="AM119" i="41"/>
  <c r="AD119" i="41"/>
  <c r="V119" i="41"/>
  <c r="P119" i="41"/>
  <c r="BF119" i="41"/>
  <c r="AU119" i="41"/>
  <c r="AF119" i="41"/>
  <c r="X119" i="41"/>
  <c r="T119" i="41"/>
  <c r="BJ119" i="41"/>
  <c r="BE119" i="41"/>
  <c r="AW119" i="41"/>
  <c r="AO119" i="41"/>
  <c r="AH119" i="41"/>
  <c r="Z119" i="41"/>
  <c r="S119" i="41"/>
  <c r="M119" i="41"/>
  <c r="J119" i="41"/>
  <c r="J121" i="41" s="1"/>
  <c r="H54" i="41"/>
  <c r="M176" i="105"/>
  <c r="M100" i="105"/>
  <c r="BM110" i="41"/>
  <c r="AI110" i="41"/>
  <c r="U183" i="105"/>
  <c r="U106" i="105"/>
  <c r="AW110" i="41"/>
  <c r="Y104" i="65"/>
  <c r="Y133" i="65" s="1"/>
  <c r="Y122" i="65"/>
  <c r="Y151" i="65" s="1"/>
  <c r="X35" i="82"/>
  <c r="BE110" i="41"/>
  <c r="BJ110" i="41"/>
  <c r="J99" i="105"/>
  <c r="J175" i="105"/>
  <c r="S105" i="105"/>
  <c r="S182" i="105"/>
  <c r="U104" i="65"/>
  <c r="U133" i="65" s="1"/>
  <c r="U113" i="65"/>
  <c r="U142" i="65" s="1"/>
  <c r="U35" i="82"/>
  <c r="U122" i="65"/>
  <c r="U151" i="65" s="1"/>
  <c r="M49" i="105"/>
  <c r="M88" i="105" s="1"/>
  <c r="P104" i="65"/>
  <c r="P133" i="65" s="1"/>
  <c r="P122" i="65"/>
  <c r="P151" i="65" s="1"/>
  <c r="P35" i="82"/>
  <c r="AA183" i="105"/>
  <c r="AA106" i="105"/>
  <c r="BG110" i="41"/>
  <c r="L99" i="105"/>
  <c r="L175" i="105"/>
  <c r="U172" i="105"/>
  <c r="U96" i="105"/>
  <c r="K58" i="105"/>
  <c r="Q105" i="105"/>
  <c r="Q182" i="105"/>
  <c r="Q67" i="105"/>
  <c r="BA110" i="41"/>
  <c r="R185" i="105"/>
  <c r="R108" i="105"/>
  <c r="V104" i="65"/>
  <c r="V133" i="65" s="1"/>
  <c r="V122" i="65"/>
  <c r="V151" i="65" s="1"/>
  <c r="V35" i="82"/>
  <c r="L109" i="105"/>
  <c r="L186" i="105"/>
  <c r="AA181" i="105"/>
  <c r="AA104" i="105"/>
  <c r="AS110" i="41"/>
  <c r="AB48" i="105"/>
  <c r="AB87" i="105" s="1"/>
  <c r="AB91" i="105" s="1"/>
  <c r="AB162" i="105" s="1"/>
  <c r="Q186" i="105"/>
  <c r="Q109" i="105"/>
  <c r="AU110" i="41"/>
  <c r="AA104" i="65"/>
  <c r="AA133" i="65" s="1"/>
  <c r="Y35" i="82"/>
  <c r="AA122" i="65"/>
  <c r="AA151" i="65" s="1"/>
  <c r="BK110" i="41"/>
  <c r="J58" i="105"/>
  <c r="T186" i="105"/>
  <c r="T109" i="105"/>
  <c r="AT110" i="41"/>
  <c r="T176" i="105"/>
  <c r="T100" i="105"/>
  <c r="O109" i="105"/>
  <c r="O186" i="105"/>
  <c r="T67" i="105"/>
  <c r="Y105" i="105"/>
  <c r="Y182" i="105"/>
  <c r="U181" i="105"/>
  <c r="U104" i="105"/>
  <c r="Q104" i="65"/>
  <c r="Q133" i="65" s="1"/>
  <c r="Q113" i="65"/>
  <c r="Q142" i="65" s="1"/>
  <c r="Q35" i="82"/>
  <c r="Q122" i="65"/>
  <c r="Q151" i="65" s="1"/>
  <c r="Y106" i="105"/>
  <c r="Y183" i="105"/>
  <c r="O49" i="105"/>
  <c r="O88" i="105" s="1"/>
  <c r="BH110" i="41"/>
  <c r="AA182" i="105"/>
  <c r="AA105" i="105"/>
  <c r="Q170" i="105"/>
  <c r="Q94" i="105"/>
  <c r="S183" i="105"/>
  <c r="S106" i="105"/>
  <c r="Q110" i="105"/>
  <c r="Q187" i="105"/>
  <c r="W181" i="105"/>
  <c r="W104" i="105"/>
  <c r="AF110" i="41"/>
  <c r="W176" i="105"/>
  <c r="W100" i="105"/>
  <c r="Y110" i="41"/>
  <c r="K49" i="105"/>
  <c r="K88" i="105" s="1"/>
  <c r="N110" i="41"/>
  <c r="U100" i="105"/>
  <c r="U176" i="105"/>
  <c r="AY110" i="41"/>
  <c r="T187" i="105"/>
  <c r="T110" i="105"/>
  <c r="W110" i="41"/>
  <c r="AD110" i="41"/>
  <c r="S49" i="105"/>
  <c r="S88" i="105" s="1"/>
  <c r="W95" i="105"/>
  <c r="W171" i="105"/>
  <c r="R104" i="105"/>
  <c r="R181" i="105"/>
  <c r="U110" i="41"/>
  <c r="P186" i="105"/>
  <c r="P109" i="105"/>
  <c r="W110" i="105"/>
  <c r="W187" i="105"/>
  <c r="L49" i="105"/>
  <c r="L88" i="105" s="1"/>
  <c r="L104" i="65"/>
  <c r="L133" i="65" s="1"/>
  <c r="L113" i="65"/>
  <c r="L142" i="65" s="1"/>
  <c r="L122" i="65"/>
  <c r="L151" i="65" s="1"/>
  <c r="L35" i="82"/>
  <c r="AA110" i="41"/>
  <c r="H90" i="105"/>
  <c r="Z110" i="41"/>
  <c r="O110" i="41"/>
  <c r="Q58" i="105"/>
  <c r="N187" i="105"/>
  <c r="N110" i="105"/>
  <c r="Q104" i="105"/>
  <c r="Q181" i="105"/>
  <c r="AE110" i="41"/>
  <c r="M110" i="41"/>
  <c r="S110" i="41"/>
  <c r="K186" i="105"/>
  <c r="K109" i="105"/>
  <c r="J109" i="105"/>
  <c r="J186" i="105"/>
  <c r="AC110" i="41"/>
  <c r="W182" i="105"/>
  <c r="W105" i="105"/>
  <c r="K187" i="105"/>
  <c r="K110" i="105"/>
  <c r="AK110" i="41"/>
  <c r="U94" i="105"/>
  <c r="U170" i="105"/>
  <c r="P185" i="105"/>
  <c r="P108" i="105"/>
  <c r="S110" i="105"/>
  <c r="S187" i="105"/>
  <c r="L187" i="105"/>
  <c r="L110" i="105"/>
  <c r="L58" i="105"/>
  <c r="Y187" i="105"/>
  <c r="Y110" i="105"/>
  <c r="U187" i="105"/>
  <c r="U110" i="105"/>
  <c r="BB110" i="41"/>
  <c r="M67" i="105"/>
  <c r="N174" i="105"/>
  <c r="N98" i="105"/>
  <c r="L100" i="105"/>
  <c r="L176" i="105"/>
  <c r="K67" i="105"/>
  <c r="Z48" i="105"/>
  <c r="Z87" i="105" s="1"/>
  <c r="Z91" i="105" s="1"/>
  <c r="Z162" i="105" s="1"/>
  <c r="Q49" i="105"/>
  <c r="Q88" i="105" s="1"/>
  <c r="AN110" i="41"/>
  <c r="K110" i="41"/>
  <c r="AG110" i="41"/>
  <c r="R183" i="105"/>
  <c r="R106" i="105"/>
  <c r="Y104" i="105"/>
  <c r="Y181" i="105"/>
  <c r="BF110" i="41"/>
  <c r="H89" i="105"/>
  <c r="M187" i="105"/>
  <c r="M110" i="105"/>
  <c r="T175" i="105"/>
  <c r="T99" i="105"/>
  <c r="BC110" i="41"/>
  <c r="W104" i="65"/>
  <c r="W133" i="65" s="1"/>
  <c r="W113" i="65"/>
  <c r="W142" i="65" s="1"/>
  <c r="W122" i="65"/>
  <c r="W151" i="65" s="1"/>
  <c r="W35" i="82"/>
  <c r="AR110" i="41"/>
  <c r="T110" i="41"/>
  <c r="S67" i="105"/>
  <c r="L110" i="41"/>
  <c r="O187" i="105"/>
  <c r="O110" i="105"/>
  <c r="J49" i="105"/>
  <c r="J88" i="105" s="1"/>
  <c r="AM110" i="41"/>
  <c r="T49" i="105"/>
  <c r="T88" i="105" s="1"/>
  <c r="U182" i="105"/>
  <c r="U105" i="105"/>
  <c r="AO110" i="41"/>
  <c r="BI110" i="41"/>
  <c r="BI111" i="41" l="1"/>
  <c r="J48" i="105"/>
  <c r="J87" i="105" s="1"/>
  <c r="K48" i="105"/>
  <c r="K87" i="105" s="1"/>
  <c r="O185" i="105"/>
  <c r="O108" i="105"/>
  <c r="T98" i="105"/>
  <c r="T174" i="105"/>
  <c r="S48" i="105"/>
  <c r="S87" i="105" s="1"/>
  <c r="S91" i="105" s="1"/>
  <c r="N48" i="105"/>
  <c r="N87" i="105" s="1"/>
  <c r="BD111" i="41"/>
  <c r="T57" i="105"/>
  <c r="AH111" i="41"/>
  <c r="L185" i="105"/>
  <c r="L108" i="105"/>
  <c r="M66" i="105"/>
  <c r="AJ111" i="41"/>
  <c r="W48" i="105"/>
  <c r="W87" i="105" s="1"/>
  <c r="W91" i="105" s="1"/>
  <c r="W160" i="105" s="1"/>
  <c r="W64" i="82" s="1"/>
  <c r="AG111" i="41"/>
  <c r="AC111" i="41"/>
  <c r="Q174" i="105"/>
  <c r="Q98" i="105"/>
  <c r="U111" i="41"/>
  <c r="Q66" i="105"/>
  <c r="BK111" i="41"/>
  <c r="AM111" i="41"/>
  <c r="W66" i="105"/>
  <c r="AN111" i="41"/>
  <c r="M108" i="105"/>
  <c r="M185" i="105"/>
  <c r="H109" i="105"/>
  <c r="M111" i="41"/>
  <c r="O111" i="41"/>
  <c r="N111" i="41"/>
  <c r="Q57" i="105"/>
  <c r="AT111" i="41"/>
  <c r="J98" i="105"/>
  <c r="J174" i="105"/>
  <c r="BG111" i="41"/>
  <c r="P66" i="105"/>
  <c r="U66" i="105"/>
  <c r="H99" i="105"/>
  <c r="Y66" i="105"/>
  <c r="H88" i="105"/>
  <c r="L111" i="41"/>
  <c r="T111" i="41"/>
  <c r="W57" i="105"/>
  <c r="BF111" i="41"/>
  <c r="K185" i="105"/>
  <c r="K108" i="105"/>
  <c r="AK111" i="41"/>
  <c r="AE111" i="41"/>
  <c r="Z111" i="41"/>
  <c r="L66" i="105"/>
  <c r="AD111" i="41"/>
  <c r="AY111" i="41"/>
  <c r="BH111" i="41"/>
  <c r="Q48" i="105"/>
  <c r="Q87" i="105" s="1"/>
  <c r="Q91" i="105" s="1"/>
  <c r="AA48" i="105"/>
  <c r="AA87" i="105" s="1"/>
  <c r="AA91" i="105" s="1"/>
  <c r="AA160" i="105" s="1"/>
  <c r="Y64" i="82" s="1"/>
  <c r="V66" i="105"/>
  <c r="BA111" i="41"/>
  <c r="P48" i="105"/>
  <c r="P87" i="105" s="1"/>
  <c r="BJ111" i="41"/>
  <c r="Y48" i="105"/>
  <c r="Y87" i="105" s="1"/>
  <c r="Y91" i="105" s="1"/>
  <c r="Y160" i="105" s="1"/>
  <c r="X64" i="82" s="1"/>
  <c r="AI111" i="41"/>
  <c r="H110" i="105"/>
  <c r="V111" i="41"/>
  <c r="R107" i="105"/>
  <c r="R111" i="105" s="1"/>
  <c r="R184" i="105"/>
  <c r="R188" i="105" s="1"/>
  <c r="J108" i="105"/>
  <c r="J185" i="105"/>
  <c r="O48" i="105"/>
  <c r="O87" i="105" s="1"/>
  <c r="T66" i="105"/>
  <c r="AP111" i="41"/>
  <c r="M57" i="105"/>
  <c r="AX111" i="41"/>
  <c r="J57" i="105"/>
  <c r="K57" i="105"/>
  <c r="S66" i="105"/>
  <c r="N66" i="105"/>
  <c r="Q111" i="41"/>
  <c r="AQ111" i="41"/>
  <c r="H100" i="105"/>
  <c r="M174" i="105"/>
  <c r="M98" i="105"/>
  <c r="AL111" i="41"/>
  <c r="T48" i="105"/>
  <c r="T87" i="105" s="1"/>
  <c r="AZ111" i="41"/>
  <c r="J111" i="41"/>
  <c r="M48" i="105"/>
  <c r="M87" i="105" s="1"/>
  <c r="AR111" i="41"/>
  <c r="BB111" i="41"/>
  <c r="L57" i="105"/>
  <c r="W111" i="41"/>
  <c r="AF111" i="41"/>
  <c r="T108" i="105"/>
  <c r="T185" i="105"/>
  <c r="AU111" i="41"/>
  <c r="V48" i="105"/>
  <c r="V87" i="105" s="1"/>
  <c r="V91" i="105" s="1"/>
  <c r="V160" i="105" s="1"/>
  <c r="V64" i="82" s="1"/>
  <c r="Q185" i="105"/>
  <c r="Q108" i="105"/>
  <c r="K174" i="105"/>
  <c r="K98" i="105"/>
  <c r="U57" i="105"/>
  <c r="BE111" i="41"/>
  <c r="AW111" i="41"/>
  <c r="R134" i="105"/>
  <c r="R63" i="82" s="1"/>
  <c r="R128" i="105"/>
  <c r="R162" i="105"/>
  <c r="R65" i="82" s="1"/>
  <c r="AO111" i="41"/>
  <c r="S185" i="105"/>
  <c r="S108" i="105"/>
  <c r="BC111" i="41"/>
  <c r="K111" i="41"/>
  <c r="L98" i="105"/>
  <c r="L174" i="105"/>
  <c r="S111" i="41"/>
  <c r="AA111" i="41"/>
  <c r="L48" i="105"/>
  <c r="L87" i="105" s="1"/>
  <c r="Y111" i="41"/>
  <c r="AA66" i="105"/>
  <c r="AS111" i="41"/>
  <c r="U48" i="105"/>
  <c r="U87" i="105" s="1"/>
  <c r="U91" i="105" s="1"/>
  <c r="U160" i="105" s="1"/>
  <c r="U64" i="82" s="1"/>
  <c r="BM111" i="41"/>
  <c r="H145" i="41"/>
  <c r="J66" i="105"/>
  <c r="K66" i="105"/>
  <c r="BN111" i="41"/>
  <c r="BL111" i="41"/>
  <c r="N57" i="105"/>
  <c r="AV111" i="41"/>
  <c r="H74" i="105"/>
  <c r="H116" i="105" s="1"/>
  <c r="H60" i="41"/>
  <c r="AB111" i="41"/>
  <c r="O66" i="105"/>
  <c r="X111" i="41"/>
  <c r="R111" i="41"/>
  <c r="P111" i="41"/>
  <c r="V107" i="105" l="1"/>
  <c r="V111" i="105" s="1"/>
  <c r="V184" i="105"/>
  <c r="V188" i="105" s="1"/>
  <c r="V162" i="105"/>
  <c r="V65" i="82" s="1"/>
  <c r="V134" i="105"/>
  <c r="V63" i="82" s="1"/>
  <c r="V128" i="105"/>
  <c r="R130" i="105"/>
  <c r="R136" i="105"/>
  <c r="AV117" i="41"/>
  <c r="L117" i="41"/>
  <c r="AF117" i="41"/>
  <c r="N117" i="41"/>
  <c r="AH117" i="41"/>
  <c r="BB117" i="41"/>
  <c r="Q117" i="41"/>
  <c r="BG117" i="41"/>
  <c r="W117" i="41"/>
  <c r="AQ117" i="41"/>
  <c r="J117" i="41"/>
  <c r="J123" i="41" s="1"/>
  <c r="Z117" i="41"/>
  <c r="AT117" i="41"/>
  <c r="BN117" i="41"/>
  <c r="BC117" i="41"/>
  <c r="K117" i="41"/>
  <c r="AE117" i="41"/>
  <c r="AY117" i="41"/>
  <c r="AG117" i="41"/>
  <c r="BA117" i="41"/>
  <c r="T117" i="41"/>
  <c r="BE117" i="41"/>
  <c r="V117" i="41"/>
  <c r="AP117" i="41"/>
  <c r="BJ117" i="41"/>
  <c r="Y117" i="41"/>
  <c r="AS117" i="41"/>
  <c r="BM117" i="41"/>
  <c r="S117" i="41"/>
  <c r="J118" i="41"/>
  <c r="AD117" i="41"/>
  <c r="AX117" i="41"/>
  <c r="R117" i="41"/>
  <c r="AZ117" i="41"/>
  <c r="P117" i="41"/>
  <c r="AM117" i="41"/>
  <c r="U117" i="41"/>
  <c r="AO117" i="41"/>
  <c r="BI117" i="41"/>
  <c r="AL117" i="41"/>
  <c r="AR117" i="41"/>
  <c r="BL117" i="41"/>
  <c r="AB117" i="41"/>
  <c r="AK117" i="41"/>
  <c r="AC117" i="41"/>
  <c r="AW117" i="41"/>
  <c r="M117" i="41"/>
  <c r="AJ117" i="41"/>
  <c r="O117" i="41"/>
  <c r="AI117" i="41"/>
  <c r="BF117" i="41"/>
  <c r="AN117" i="41"/>
  <c r="BH117" i="41"/>
  <c r="X117" i="41"/>
  <c r="BD117" i="41"/>
  <c r="BK117" i="41"/>
  <c r="AA117" i="41"/>
  <c r="AU117" i="41"/>
  <c r="M184" i="105"/>
  <c r="M107" i="105"/>
  <c r="U128" i="105"/>
  <c r="U134" i="105"/>
  <c r="U63" i="82" s="1"/>
  <c r="U162" i="105"/>
  <c r="U65" i="82" s="1"/>
  <c r="L97" i="105"/>
  <c r="L173" i="105"/>
  <c r="Y162" i="105"/>
  <c r="X65" i="82" s="1"/>
  <c r="Y128" i="105"/>
  <c r="Y134" i="105"/>
  <c r="X63" i="82" s="1"/>
  <c r="Q128" i="105"/>
  <c r="Q134" i="105"/>
  <c r="Q63" i="82" s="1"/>
  <c r="Q162" i="105"/>
  <c r="Q65" i="82" s="1"/>
  <c r="U107" i="105"/>
  <c r="U111" i="105" s="1"/>
  <c r="U184" i="105"/>
  <c r="U188" i="105" s="1"/>
  <c r="N173" i="105"/>
  <c r="N97" i="105"/>
  <c r="K184" i="105"/>
  <c r="K107" i="105"/>
  <c r="AA184" i="105"/>
  <c r="AA188" i="105" s="1"/>
  <c r="AA107" i="105"/>
  <c r="AA111" i="105" s="1"/>
  <c r="S184" i="105"/>
  <c r="S188" i="105" s="1"/>
  <c r="S107" i="105"/>
  <c r="S111" i="105" s="1"/>
  <c r="J97" i="105"/>
  <c r="J173" i="105"/>
  <c r="AA128" i="105"/>
  <c r="AA134" i="105"/>
  <c r="Y63" i="82" s="1"/>
  <c r="AA162" i="105"/>
  <c r="Y65" i="82" s="1"/>
  <c r="L184" i="105"/>
  <c r="L107" i="105"/>
  <c r="W97" i="105"/>
  <c r="W101" i="105" s="1"/>
  <c r="W173" i="105"/>
  <c r="W177" i="105" s="1"/>
  <c r="Y184" i="105"/>
  <c r="Y188" i="105" s="1"/>
  <c r="Y107" i="105"/>
  <c r="Y111" i="105" s="1"/>
  <c r="Q97" i="105"/>
  <c r="Q101" i="105" s="1"/>
  <c r="Q173" i="105"/>
  <c r="Q177" i="105" s="1"/>
  <c r="W107" i="105"/>
  <c r="W111" i="105" s="1"/>
  <c r="W136" i="105" s="1"/>
  <c r="W184" i="105"/>
  <c r="W188" i="105" s="1"/>
  <c r="Q184" i="105"/>
  <c r="Q188" i="105" s="1"/>
  <c r="Q107" i="105"/>
  <c r="Q111" i="105" s="1"/>
  <c r="W134" i="105"/>
  <c r="W63" i="82" s="1"/>
  <c r="W128" i="105"/>
  <c r="W162" i="105"/>
  <c r="W65" i="82" s="1"/>
  <c r="T173" i="105"/>
  <c r="T97" i="105"/>
  <c r="T107" i="105"/>
  <c r="T184" i="105"/>
  <c r="P184" i="105"/>
  <c r="P107" i="105"/>
  <c r="S128" i="105"/>
  <c r="S162" i="105"/>
  <c r="S65" i="82" s="1"/>
  <c r="S134" i="105"/>
  <c r="S63" i="82" s="1"/>
  <c r="H87" i="105"/>
  <c r="O107" i="105"/>
  <c r="O184" i="105"/>
  <c r="H90" i="41"/>
  <c r="R62" i="82"/>
  <c r="R194" i="105"/>
  <c r="R195" i="105"/>
  <c r="R74" i="82" s="1"/>
  <c r="U97" i="105"/>
  <c r="U101" i="105" s="1"/>
  <c r="U173" i="105"/>
  <c r="U177" i="105" s="1"/>
  <c r="J107" i="105"/>
  <c r="J184" i="105"/>
  <c r="N107" i="105"/>
  <c r="N184" i="105"/>
  <c r="K173" i="105"/>
  <c r="K97" i="105"/>
  <c r="M173" i="105"/>
  <c r="M97" i="105"/>
  <c r="H108" i="105"/>
  <c r="H98" i="105"/>
  <c r="U130" i="105" l="1"/>
  <c r="U136" i="105"/>
  <c r="U135" i="105"/>
  <c r="U129" i="105"/>
  <c r="W135" i="105"/>
  <c r="W129" i="105"/>
  <c r="V194" i="105"/>
  <c r="V62" i="82"/>
  <c r="V195" i="105"/>
  <c r="V74" i="82" s="1"/>
  <c r="H97" i="105"/>
  <c r="H107" i="105"/>
  <c r="Q129" i="105"/>
  <c r="Q135" i="105"/>
  <c r="Q194" i="105"/>
  <c r="Q73" i="82" s="1"/>
  <c r="Q195" i="105"/>
  <c r="Q74" i="82" s="1"/>
  <c r="Q62" i="82"/>
  <c r="K118" i="41"/>
  <c r="L118" i="41" s="1"/>
  <c r="M118" i="41" s="1"/>
  <c r="N118" i="41" s="1"/>
  <c r="O118" i="41" s="1"/>
  <c r="P118" i="41" s="1"/>
  <c r="Q118" i="41" s="1"/>
  <c r="R118" i="41" s="1"/>
  <c r="S118" i="41" s="1"/>
  <c r="T118" i="41" s="1"/>
  <c r="U118" i="41" s="1"/>
  <c r="V118" i="41" s="1"/>
  <c r="W118" i="41" s="1"/>
  <c r="X118" i="41" s="1"/>
  <c r="Y118" i="41" s="1"/>
  <c r="Z118" i="41" s="1"/>
  <c r="AA118" i="41" s="1"/>
  <c r="AB118" i="41" s="1"/>
  <c r="AC118" i="41" s="1"/>
  <c r="AD118" i="41" s="1"/>
  <c r="AE118" i="41" s="1"/>
  <c r="AF118" i="41" s="1"/>
  <c r="AG118" i="41" s="1"/>
  <c r="AH118" i="41" s="1"/>
  <c r="AI118" i="41" s="1"/>
  <c r="AJ118" i="41" s="1"/>
  <c r="AK118" i="41" s="1"/>
  <c r="AL118" i="41" s="1"/>
  <c r="AM118" i="41" s="1"/>
  <c r="AN118" i="41" s="1"/>
  <c r="AO118" i="41" s="1"/>
  <c r="AP118" i="41" s="1"/>
  <c r="AQ118" i="41" s="1"/>
  <c r="AR118" i="41" s="1"/>
  <c r="AS118" i="41" s="1"/>
  <c r="AT118" i="41" s="1"/>
  <c r="AU118" i="41" s="1"/>
  <c r="AV118" i="41" s="1"/>
  <c r="AW118" i="41" s="1"/>
  <c r="AX118" i="41" s="1"/>
  <c r="AY118" i="41" s="1"/>
  <c r="AZ118" i="41" s="1"/>
  <c r="BA118" i="41" s="1"/>
  <c r="BB118" i="41" s="1"/>
  <c r="BC118" i="41" s="1"/>
  <c r="BD118" i="41" s="1"/>
  <c r="BE118" i="41" s="1"/>
  <c r="BF118" i="41" s="1"/>
  <c r="BG118" i="41" s="1"/>
  <c r="BH118" i="41" s="1"/>
  <c r="BI118" i="41" s="1"/>
  <c r="BJ118" i="41" s="1"/>
  <c r="BK118" i="41" s="1"/>
  <c r="BL118" i="41" s="1"/>
  <c r="BM118" i="41" s="1"/>
  <c r="BN118" i="41" s="1"/>
  <c r="K120" i="41"/>
  <c r="S62" i="82"/>
  <c r="S195" i="105"/>
  <c r="S74" i="82" s="1"/>
  <c r="S194" i="105"/>
  <c r="AA195" i="105"/>
  <c r="Y74" i="82" s="1"/>
  <c r="Y62" i="82"/>
  <c r="AA194" i="105"/>
  <c r="U194" i="105"/>
  <c r="U73" i="82" s="1"/>
  <c r="U195" i="105"/>
  <c r="U74" i="82" s="1"/>
  <c r="U62" i="82"/>
  <c r="Q130" i="105"/>
  <c r="Q136" i="105"/>
  <c r="W194" i="105"/>
  <c r="W73" i="82" s="1"/>
  <c r="W195" i="105"/>
  <c r="W74" i="82" s="1"/>
  <c r="W62" i="82"/>
  <c r="X62" i="82"/>
  <c r="Y195" i="105"/>
  <c r="X74" i="82" s="1"/>
  <c r="Y194" i="105"/>
  <c r="L120" i="41" l="1"/>
  <c r="M120" i="41" s="1"/>
  <c r="N120" i="41" s="1"/>
  <c r="O120" i="41" s="1"/>
  <c r="P120" i="41" s="1"/>
  <c r="Q120" i="41" s="1"/>
  <c r="R120" i="41" s="1"/>
  <c r="S120" i="41" s="1"/>
  <c r="T120" i="41" s="1"/>
  <c r="U120" i="41" s="1"/>
  <c r="V120" i="41" s="1"/>
  <c r="W120" i="41" s="1"/>
  <c r="X120" i="41" s="1"/>
  <c r="Y120" i="41" s="1"/>
  <c r="Z120" i="41" s="1"/>
  <c r="AA120" i="41" s="1"/>
  <c r="AB120" i="41" s="1"/>
  <c r="AC120" i="41" s="1"/>
  <c r="AD120" i="41" s="1"/>
  <c r="AE120" i="41" s="1"/>
  <c r="AF120" i="41" s="1"/>
  <c r="AG120" i="41" s="1"/>
  <c r="AH120" i="41" s="1"/>
  <c r="AI120" i="41" s="1"/>
  <c r="AJ120" i="41" s="1"/>
  <c r="AK120" i="41" s="1"/>
  <c r="AL120" i="41" s="1"/>
  <c r="AM120" i="41" s="1"/>
  <c r="AN120" i="41" s="1"/>
  <c r="AO120" i="41" s="1"/>
  <c r="AP120" i="41" s="1"/>
  <c r="AQ120" i="41" s="1"/>
  <c r="AR120" i="41" s="1"/>
  <c r="AS120" i="41" s="1"/>
  <c r="AT120" i="41" s="1"/>
  <c r="AU120" i="41" s="1"/>
  <c r="AV120" i="41" s="1"/>
  <c r="AW120" i="41" s="1"/>
  <c r="AX120" i="41" s="1"/>
  <c r="AY120" i="41" s="1"/>
  <c r="AZ120" i="41" s="1"/>
  <c r="BA120" i="41" s="1"/>
  <c r="BB120" i="41" s="1"/>
  <c r="BC120" i="41" s="1"/>
  <c r="BD120" i="41" s="1"/>
  <c r="BE120" i="41" s="1"/>
  <c r="BF120" i="41" s="1"/>
  <c r="BG120" i="41" s="1"/>
  <c r="BH120" i="41" s="1"/>
  <c r="BI120" i="41" s="1"/>
  <c r="BJ120" i="41" s="1"/>
  <c r="BK120" i="41" s="1"/>
  <c r="BL120" i="41" s="1"/>
  <c r="BM120" i="41" s="1"/>
  <c r="BN120" i="41" s="1"/>
  <c r="K121" i="41"/>
  <c r="K123" i="41" s="1"/>
  <c r="L121" i="41" l="1"/>
  <c r="L123" i="41" s="1"/>
  <c r="M121" i="41" l="1"/>
  <c r="M123" i="41" s="1"/>
  <c r="N121" i="41" l="1"/>
  <c r="N123" i="41" s="1"/>
  <c r="O121" i="41" l="1"/>
  <c r="O123" i="41" s="1"/>
  <c r="P121" i="41" l="1"/>
  <c r="P123" i="41" s="1"/>
  <c r="T121" i="41" l="1"/>
  <c r="T123" i="41" s="1"/>
  <c r="Q121" i="41"/>
  <c r="Q123" i="41" s="1"/>
  <c r="S121" i="41" l="1"/>
  <c r="S123" i="41" s="1"/>
  <c r="R121" i="41"/>
  <c r="R123" i="41" s="1"/>
  <c r="U121" i="41"/>
  <c r="U123" i="41" s="1"/>
  <c r="V121" i="41" l="1"/>
  <c r="V123" i="41" s="1"/>
  <c r="W121" i="41" l="1"/>
  <c r="W123" i="41" s="1"/>
  <c r="X121" i="41" l="1"/>
  <c r="X123" i="41" s="1"/>
  <c r="Y121" i="41" l="1"/>
  <c r="Y123" i="41" s="1"/>
  <c r="Z121" i="41" l="1"/>
  <c r="Z123" i="41" s="1"/>
  <c r="AA121" i="41" l="1"/>
  <c r="AA123" i="41" s="1"/>
  <c r="AB121" i="41" l="1"/>
  <c r="AB123" i="41" s="1"/>
  <c r="AC121" i="41" l="1"/>
  <c r="AC123" i="41" s="1"/>
  <c r="AD121" i="41" l="1"/>
  <c r="AD123" i="41" s="1"/>
  <c r="AE121" i="41" l="1"/>
  <c r="AE123" i="41" s="1"/>
  <c r="AF121" i="41" l="1"/>
  <c r="AF123" i="41" s="1"/>
  <c r="AG121" i="41" l="1"/>
  <c r="AG123" i="41" s="1"/>
  <c r="AH121" i="41" l="1"/>
  <c r="AH123" i="41" s="1"/>
  <c r="AI121" i="41" l="1"/>
  <c r="AI123" i="41" s="1"/>
  <c r="AJ121" i="41" l="1"/>
  <c r="AJ123" i="41" s="1"/>
  <c r="AM121" i="41"/>
  <c r="AM123" i="41" s="1"/>
  <c r="AN121" i="41" l="1"/>
  <c r="AN123" i="41" s="1"/>
  <c r="AL121" i="41"/>
  <c r="AL123" i="41" s="1"/>
  <c r="AK121" i="41"/>
  <c r="AK123" i="41" s="1"/>
  <c r="AO121" i="41" l="1"/>
  <c r="AO123" i="41" s="1"/>
  <c r="AP121" i="41" l="1"/>
  <c r="AP123" i="41" s="1"/>
  <c r="AQ121" i="41" l="1"/>
  <c r="AQ123" i="41" s="1"/>
  <c r="AR121" i="41" l="1"/>
  <c r="AR123" i="41" s="1"/>
  <c r="AS121" i="41" l="1"/>
  <c r="AS123" i="41" s="1"/>
  <c r="AT121" i="41" l="1"/>
  <c r="AT123" i="41" s="1"/>
  <c r="AU121" i="41" l="1"/>
  <c r="AU123" i="41" s="1"/>
  <c r="AV121" i="41" l="1"/>
  <c r="AV123" i="41" s="1"/>
  <c r="AW121" i="41" l="1"/>
  <c r="AW123" i="41" s="1"/>
  <c r="AX121" i="41" l="1"/>
  <c r="AX123" i="41" s="1"/>
  <c r="AY121" i="41" l="1"/>
  <c r="AY123" i="41" s="1"/>
  <c r="AZ121" i="41" l="1"/>
  <c r="AZ123" i="41" s="1"/>
  <c r="BA121" i="41" l="1"/>
  <c r="BA123" i="41" s="1"/>
  <c r="BB121" i="41" l="1"/>
  <c r="BB123" i="41" s="1"/>
  <c r="BF121" i="41" l="1"/>
  <c r="BF123" i="41" s="1"/>
  <c r="BC121" i="41"/>
  <c r="BC123" i="41" s="1"/>
  <c r="BE121" i="41" l="1"/>
  <c r="BE123" i="41" s="1"/>
  <c r="BD121" i="41"/>
  <c r="BD123" i="41" s="1"/>
  <c r="BG121" i="41"/>
  <c r="BG123" i="41" s="1"/>
  <c r="BH121" i="41" l="1"/>
  <c r="BH123" i="41" s="1"/>
  <c r="BI121" i="41" l="1"/>
  <c r="BI123" i="41" s="1"/>
  <c r="BJ121" i="41" l="1"/>
  <c r="BJ123" i="41" s="1"/>
  <c r="BK121" i="41" l="1"/>
  <c r="BK123" i="41" s="1"/>
  <c r="BL121" i="41" l="1"/>
  <c r="BL123" i="41" s="1"/>
  <c r="BN121" i="41" l="1"/>
  <c r="BN123" i="41" s="1"/>
  <c r="BM121" i="41"/>
  <c r="BM123" i="41" s="1"/>
  <c r="H123" i="41" l="1"/>
  <c r="H129" i="41" l="1"/>
  <c r="O140" i="41" l="1"/>
  <c r="N141" i="41"/>
  <c r="P139" i="41"/>
  <c r="T140" i="41"/>
  <c r="K141" i="41"/>
  <c r="J140" i="41"/>
  <c r="P140" i="41"/>
  <c r="O139" i="41"/>
  <c r="M141" i="41"/>
  <c r="L140" i="41"/>
  <c r="T141" i="41"/>
  <c r="P141" i="41"/>
  <c r="K140" i="41"/>
  <c r="M139" i="41"/>
  <c r="N139" i="41"/>
  <c r="J139" i="41"/>
  <c r="T139" i="41"/>
  <c r="O141" i="41"/>
  <c r="M140" i="41"/>
  <c r="J141" i="41"/>
  <c r="K139" i="41"/>
  <c r="N140" i="41"/>
  <c r="L139" i="41"/>
  <c r="L141" i="41"/>
  <c r="J32" i="65" l="1"/>
  <c r="J150" i="41"/>
  <c r="H147" i="41" a="1"/>
  <c r="H147" i="41" s="1"/>
  <c r="P34" i="65"/>
  <c r="P92" i="65" s="1"/>
  <c r="P152" i="41"/>
  <c r="O150" i="41"/>
  <c r="O32" i="65"/>
  <c r="O90" i="65" s="1"/>
  <c r="T33" i="65"/>
  <c r="T91" i="65" s="1"/>
  <c r="T151" i="41"/>
  <c r="L152" i="41"/>
  <c r="L34" i="65"/>
  <c r="L92" i="65" s="1"/>
  <c r="M33" i="65"/>
  <c r="M91" i="65" s="1"/>
  <c r="M151" i="41"/>
  <c r="T34" i="65"/>
  <c r="T92" i="65" s="1"/>
  <c r="T152" i="41"/>
  <c r="P151" i="41"/>
  <c r="P33" i="65"/>
  <c r="P91" i="65" s="1"/>
  <c r="P32" i="65"/>
  <c r="P90" i="65" s="1"/>
  <c r="P150" i="41"/>
  <c r="L150" i="41"/>
  <c r="L32" i="65"/>
  <c r="L90" i="65" s="1"/>
  <c r="N151" i="41"/>
  <c r="N33" i="65"/>
  <c r="N91" i="65" s="1"/>
  <c r="M32" i="65"/>
  <c r="M90" i="65" s="1"/>
  <c r="M150" i="41"/>
  <c r="J151" i="41"/>
  <c r="J33" i="65"/>
  <c r="J91" i="65" s="1"/>
  <c r="N152" i="41"/>
  <c r="N34" i="65"/>
  <c r="N92" i="65" s="1"/>
  <c r="J34" i="65"/>
  <c r="J92" i="65" s="1"/>
  <c r="J152" i="41"/>
  <c r="N150" i="41"/>
  <c r="N32" i="65"/>
  <c r="N90" i="65" s="1"/>
  <c r="O34" i="65"/>
  <c r="O92" i="65" s="1"/>
  <c r="O152" i="41"/>
  <c r="L33" i="65"/>
  <c r="L91" i="65" s="1"/>
  <c r="L151" i="41"/>
  <c r="K32" i="65"/>
  <c r="K90" i="65" s="1"/>
  <c r="K150" i="41"/>
  <c r="T32" i="65"/>
  <c r="T90" i="65" s="1"/>
  <c r="T150" i="41"/>
  <c r="K33" i="65"/>
  <c r="K91" i="65" s="1"/>
  <c r="K151" i="41"/>
  <c r="M34" i="65"/>
  <c r="M92" i="65" s="1"/>
  <c r="M152" i="41"/>
  <c r="K34" i="65"/>
  <c r="K92" i="65" s="1"/>
  <c r="K152" i="41"/>
  <c r="O151" i="41"/>
  <c r="O33" i="65"/>
  <c r="O91" i="65" s="1"/>
  <c r="N102" i="65" l="1"/>
  <c r="N131" i="65" s="1"/>
  <c r="N111" i="65"/>
  <c r="N140" i="65" s="1"/>
  <c r="N120" i="65"/>
  <c r="N149" i="65" s="1"/>
  <c r="N33" i="82"/>
  <c r="M103" i="65"/>
  <c r="M132" i="65" s="1"/>
  <c r="M112" i="65"/>
  <c r="M141" i="65" s="1"/>
  <c r="M34" i="82"/>
  <c r="M121" i="65"/>
  <c r="M150" i="65" s="1"/>
  <c r="T101" i="65"/>
  <c r="T130" i="65" s="1"/>
  <c r="T119" i="65"/>
  <c r="T148" i="65" s="1"/>
  <c r="T110" i="65"/>
  <c r="T139" i="65" s="1"/>
  <c r="T32" i="82"/>
  <c r="L102" i="65"/>
  <c r="L131" i="65" s="1"/>
  <c r="L111" i="65"/>
  <c r="L140" i="65" s="1"/>
  <c r="L120" i="65"/>
  <c r="L149" i="65" s="1"/>
  <c r="L33" i="82"/>
  <c r="M110" i="65"/>
  <c r="M139" i="65" s="1"/>
  <c r="M101" i="65"/>
  <c r="M130" i="65" s="1"/>
  <c r="M119" i="65"/>
  <c r="M148" i="65" s="1"/>
  <c r="M32" i="82"/>
  <c r="M102" i="65"/>
  <c r="M131" i="65" s="1"/>
  <c r="M120" i="65"/>
  <c r="M149" i="65" s="1"/>
  <c r="M111" i="65"/>
  <c r="M140" i="65" s="1"/>
  <c r="M33" i="82"/>
  <c r="T102" i="65"/>
  <c r="T131" i="65" s="1"/>
  <c r="T120" i="65"/>
  <c r="T149" i="65" s="1"/>
  <c r="T111" i="65"/>
  <c r="T140" i="65" s="1"/>
  <c r="T33" i="82"/>
  <c r="P103" i="65"/>
  <c r="P132" i="65" s="1"/>
  <c r="P34" i="82"/>
  <c r="P121" i="65"/>
  <c r="P150" i="65" s="1"/>
  <c r="J111" i="65"/>
  <c r="J140" i="65" s="1"/>
  <c r="J102" i="65"/>
  <c r="J131" i="65" s="1"/>
  <c r="J120" i="65"/>
  <c r="J149" i="65" s="1"/>
  <c r="J33" i="82"/>
  <c r="L103" i="65"/>
  <c r="L132" i="65" s="1"/>
  <c r="L112" i="65"/>
  <c r="L141" i="65" s="1"/>
  <c r="L121" i="65"/>
  <c r="L150" i="65" s="1"/>
  <c r="L34" i="82"/>
  <c r="K103" i="65"/>
  <c r="K132" i="65" s="1"/>
  <c r="K112" i="65"/>
  <c r="K141" i="65" s="1"/>
  <c r="K34" i="82"/>
  <c r="K121" i="65"/>
  <c r="K150" i="65" s="1"/>
  <c r="K102" i="65"/>
  <c r="K131" i="65" s="1"/>
  <c r="K120" i="65"/>
  <c r="K149" i="65" s="1"/>
  <c r="K33" i="82"/>
  <c r="K111" i="65"/>
  <c r="K140" i="65" s="1"/>
  <c r="K101" i="65"/>
  <c r="K130" i="65" s="1"/>
  <c r="K119" i="65"/>
  <c r="K148" i="65" s="1"/>
  <c r="K110" i="65"/>
  <c r="K139" i="65" s="1"/>
  <c r="K32" i="82"/>
  <c r="O103" i="65"/>
  <c r="O132" i="65" s="1"/>
  <c r="O121" i="65"/>
  <c r="O150" i="65" s="1"/>
  <c r="O34" i="82"/>
  <c r="J103" i="65"/>
  <c r="J132" i="65" s="1"/>
  <c r="J112" i="65"/>
  <c r="J141" i="65" s="1"/>
  <c r="J121" i="65"/>
  <c r="J150" i="65" s="1"/>
  <c r="J34" i="82"/>
  <c r="P101" i="65"/>
  <c r="P130" i="65" s="1"/>
  <c r="P119" i="65"/>
  <c r="P148" i="65" s="1"/>
  <c r="P32" i="82"/>
  <c r="T103" i="65"/>
  <c r="T132" i="65" s="1"/>
  <c r="T112" i="65"/>
  <c r="T141" i="65" s="1"/>
  <c r="T121" i="65"/>
  <c r="T150" i="65" s="1"/>
  <c r="T34" i="82"/>
  <c r="H158" i="41"/>
  <c r="O101" i="65"/>
  <c r="O130" i="65" s="1"/>
  <c r="O119" i="65"/>
  <c r="O148" i="65" s="1"/>
  <c r="O32" i="82"/>
  <c r="O102" i="65"/>
  <c r="O131" i="65" s="1"/>
  <c r="O33" i="82"/>
  <c r="O120" i="65"/>
  <c r="O149" i="65" s="1"/>
  <c r="N101" i="65"/>
  <c r="N130" i="65" s="1"/>
  <c r="N110" i="65"/>
  <c r="N139" i="65" s="1"/>
  <c r="N32" i="82"/>
  <c r="N119" i="65"/>
  <c r="N148" i="65" s="1"/>
  <c r="N103" i="65"/>
  <c r="N132" i="65" s="1"/>
  <c r="N121" i="65"/>
  <c r="N150" i="65" s="1"/>
  <c r="N112" i="65"/>
  <c r="N141" i="65" s="1"/>
  <c r="N34" i="82"/>
  <c r="L101" i="65"/>
  <c r="L130" i="65" s="1"/>
  <c r="L110" i="65"/>
  <c r="L139" i="65" s="1"/>
  <c r="L119" i="65"/>
  <c r="L148" i="65" s="1"/>
  <c r="L32" i="82"/>
  <c r="P102" i="65"/>
  <c r="P131" i="65" s="1"/>
  <c r="P33" i="82"/>
  <c r="P120" i="65"/>
  <c r="P149" i="65" s="1"/>
  <c r="J90" i="65"/>
  <c r="P64" i="105" l="1"/>
  <c r="N56" i="105"/>
  <c r="O45" i="105"/>
  <c r="O84" i="105" s="1"/>
  <c r="P45" i="105"/>
  <c r="P84" i="105" s="1"/>
  <c r="K55" i="105"/>
  <c r="N65" i="105"/>
  <c r="N54" i="105"/>
  <c r="O46" i="105"/>
  <c r="O85" i="105" s="1"/>
  <c r="H160" i="41"/>
  <c r="H162" i="41" s="1"/>
  <c r="H75" i="105"/>
  <c r="H117" i="105" s="1"/>
  <c r="T47" i="105"/>
  <c r="T86" i="105" s="1"/>
  <c r="K54" i="105"/>
  <c r="L65" i="105"/>
  <c r="J64" i="105"/>
  <c r="P65" i="105"/>
  <c r="T55" i="105"/>
  <c r="M55" i="105"/>
  <c r="M63" i="105"/>
  <c r="L64" i="105"/>
  <c r="T54" i="105"/>
  <c r="N64" i="105"/>
  <c r="L45" i="105"/>
  <c r="L84" i="105" s="1"/>
  <c r="N47" i="105"/>
  <c r="N86" i="105" s="1"/>
  <c r="N45" i="105"/>
  <c r="N84" i="105" s="1"/>
  <c r="J65" i="105"/>
  <c r="O65" i="105"/>
  <c r="K63" i="105"/>
  <c r="K64" i="105"/>
  <c r="K56" i="105"/>
  <c r="L56" i="105"/>
  <c r="J46" i="105"/>
  <c r="J85" i="105" s="1"/>
  <c r="T64" i="105"/>
  <c r="M64" i="105"/>
  <c r="M45" i="105"/>
  <c r="M84" i="105" s="1"/>
  <c r="L55" i="105"/>
  <c r="T63" i="105"/>
  <c r="M56" i="105"/>
  <c r="N55" i="105"/>
  <c r="L63" i="105"/>
  <c r="T56" i="105"/>
  <c r="J47" i="105"/>
  <c r="J86" i="105" s="1"/>
  <c r="K65" i="105"/>
  <c r="M65" i="105"/>
  <c r="L54" i="105"/>
  <c r="P46" i="105"/>
  <c r="P85" i="105" s="1"/>
  <c r="J101" i="65"/>
  <c r="J110" i="65"/>
  <c r="J139" i="65" s="1"/>
  <c r="J37" i="106" s="1" a="1"/>
  <c r="J119" i="65"/>
  <c r="J148" i="65" s="1"/>
  <c r="J58" i="106" s="1" a="1"/>
  <c r="J32" i="82"/>
  <c r="N63" i="105"/>
  <c r="O64" i="105"/>
  <c r="O63" i="105"/>
  <c r="T65" i="105"/>
  <c r="P63" i="105"/>
  <c r="J56" i="105"/>
  <c r="O47" i="105"/>
  <c r="O86" i="105" s="1"/>
  <c r="K45" i="105"/>
  <c r="K84" i="105" s="1"/>
  <c r="K46" i="105"/>
  <c r="K85" i="105" s="1"/>
  <c r="K47" i="105"/>
  <c r="K86" i="105" s="1"/>
  <c r="L47" i="105"/>
  <c r="L86" i="105" s="1"/>
  <c r="J55" i="105"/>
  <c r="P47" i="105"/>
  <c r="P86" i="105" s="1"/>
  <c r="T46" i="105"/>
  <c r="T85" i="105" s="1"/>
  <c r="M46" i="105"/>
  <c r="M85" i="105" s="1"/>
  <c r="M54" i="105"/>
  <c r="L46" i="105"/>
  <c r="L85" i="105" s="1"/>
  <c r="T45" i="105"/>
  <c r="T84" i="105" s="1"/>
  <c r="M47" i="105"/>
  <c r="M86" i="105" s="1"/>
  <c r="N46" i="105"/>
  <c r="N85" i="105" s="1"/>
  <c r="J37" i="106" l="1"/>
  <c r="K55" i="106"/>
  <c r="N50" i="106"/>
  <c r="K47" i="106"/>
  <c r="N42" i="106"/>
  <c r="M37" i="106"/>
  <c r="K52" i="106"/>
  <c r="N47" i="106"/>
  <c r="J43" i="106"/>
  <c r="M38" i="106"/>
  <c r="L54" i="106"/>
  <c r="J52" i="106"/>
  <c r="O49" i="106"/>
  <c r="M47" i="106"/>
  <c r="K45" i="106"/>
  <c r="P42" i="106"/>
  <c r="N40" i="106"/>
  <c r="L38" i="106"/>
  <c r="N54" i="106"/>
  <c r="M49" i="106"/>
  <c r="L44" i="106"/>
  <c r="O39" i="106"/>
  <c r="P53" i="106"/>
  <c r="L49" i="106"/>
  <c r="O44" i="106"/>
  <c r="K40" i="106"/>
  <c r="L55" i="106"/>
  <c r="J53" i="106"/>
  <c r="O50" i="106"/>
  <c r="M48" i="106"/>
  <c r="K46" i="106"/>
  <c r="P43" i="106"/>
  <c r="N41" i="106"/>
  <c r="L39" i="106"/>
  <c r="J54" i="106"/>
  <c r="J50" i="106"/>
  <c r="J46" i="106"/>
  <c r="M41" i="106"/>
  <c r="N55" i="106"/>
  <c r="J51" i="106"/>
  <c r="M46" i="106"/>
  <c r="P41" i="106"/>
  <c r="L37" i="106"/>
  <c r="O53" i="106"/>
  <c r="M51" i="106"/>
  <c r="K49" i="106"/>
  <c r="P46" i="106"/>
  <c r="N44" i="106"/>
  <c r="L42" i="106"/>
  <c r="J40" i="106"/>
  <c r="O37" i="106"/>
  <c r="M53" i="106"/>
  <c r="O47" i="106"/>
  <c r="K43" i="106"/>
  <c r="N38" i="106"/>
  <c r="O52" i="106"/>
  <c r="K48" i="106"/>
  <c r="N43" i="106"/>
  <c r="J39" i="106"/>
  <c r="O54" i="106"/>
  <c r="M52" i="106"/>
  <c r="K50" i="106"/>
  <c r="P47" i="106"/>
  <c r="N45" i="106"/>
  <c r="L43" i="106"/>
  <c r="J41" i="106"/>
  <c r="O38" i="106"/>
  <c r="P52" i="106"/>
  <c r="P48" i="106"/>
  <c r="P44" i="106"/>
  <c r="L40" i="106"/>
  <c r="M54" i="106"/>
  <c r="P49" i="106"/>
  <c r="L45" i="106"/>
  <c r="O40" i="106"/>
  <c r="M55" i="106"/>
  <c r="K53" i="106"/>
  <c r="P50" i="106"/>
  <c r="N48" i="106"/>
  <c r="L46" i="106"/>
  <c r="J44" i="106"/>
  <c r="O41" i="106"/>
  <c r="M39" i="106"/>
  <c r="K37" i="106"/>
  <c r="L52" i="106"/>
  <c r="N46" i="106"/>
  <c r="J42" i="106"/>
  <c r="J38" i="106"/>
  <c r="N51" i="106"/>
  <c r="J47" i="106"/>
  <c r="M42" i="106"/>
  <c r="P37" i="106"/>
  <c r="K54" i="106"/>
  <c r="P51" i="106"/>
  <c r="N49" i="106"/>
  <c r="L47" i="106"/>
  <c r="J45" i="106"/>
  <c r="O42" i="106"/>
  <c r="M40" i="106"/>
  <c r="K38" i="106"/>
  <c r="K39" i="106"/>
  <c r="N39" i="106"/>
  <c r="J48" i="106"/>
  <c r="P38" i="106"/>
  <c r="P40" i="106"/>
  <c r="L41" i="106"/>
  <c r="J49" i="106"/>
  <c r="P39" i="106"/>
  <c r="O51" i="106"/>
  <c r="L53" i="106"/>
  <c r="P54" i="106"/>
  <c r="O45" i="106"/>
  <c r="O55" i="106"/>
  <c r="J55" i="106"/>
  <c r="P55" i="106"/>
  <c r="O46" i="106"/>
  <c r="N37" i="106"/>
  <c r="L48" i="106"/>
  <c r="O48" i="106"/>
  <c r="N52" i="106"/>
  <c r="O43" i="106"/>
  <c r="K41" i="106"/>
  <c r="P45" i="106"/>
  <c r="K42" i="106"/>
  <c r="K44" i="106"/>
  <c r="K51" i="106"/>
  <c r="N53" i="106"/>
  <c r="L50" i="106"/>
  <c r="L51" i="106"/>
  <c r="M43" i="106"/>
  <c r="M50" i="106"/>
  <c r="M44" i="106"/>
  <c r="M45" i="106"/>
  <c r="J58" i="106"/>
  <c r="O76" i="106"/>
  <c r="M70" i="106"/>
  <c r="N63" i="106"/>
  <c r="O60" i="106"/>
  <c r="J76" i="106"/>
  <c r="O73" i="106"/>
  <c r="M71" i="106"/>
  <c r="K69" i="106"/>
  <c r="P66" i="106"/>
  <c r="N64" i="106"/>
  <c r="L62" i="106"/>
  <c r="J60" i="106"/>
  <c r="N75" i="106"/>
  <c r="O68" i="106"/>
  <c r="J59" i="106"/>
  <c r="O74" i="106"/>
  <c r="M72" i="106"/>
  <c r="K70" i="106"/>
  <c r="P67" i="106"/>
  <c r="N65" i="106"/>
  <c r="L63" i="106"/>
  <c r="J61" i="106"/>
  <c r="O58" i="106"/>
  <c r="O72" i="106"/>
  <c r="P65" i="106"/>
  <c r="L76" i="106"/>
  <c r="J74" i="106"/>
  <c r="O71" i="106"/>
  <c r="M69" i="106"/>
  <c r="K67" i="106"/>
  <c r="P64" i="106"/>
  <c r="N62" i="106"/>
  <c r="L60" i="106"/>
  <c r="J75" i="106"/>
  <c r="K68" i="106"/>
  <c r="M62" i="106"/>
  <c r="K60" i="106"/>
  <c r="M75" i="106"/>
  <c r="K73" i="106"/>
  <c r="P70" i="106"/>
  <c r="N68" i="106"/>
  <c r="L66" i="106"/>
  <c r="J64" i="106"/>
  <c r="O61" i="106"/>
  <c r="M59" i="106"/>
  <c r="P73" i="106"/>
  <c r="J67" i="106"/>
  <c r="M76" i="106"/>
  <c r="K74" i="106"/>
  <c r="P71" i="106"/>
  <c r="N69" i="106"/>
  <c r="L67" i="106"/>
  <c r="J65" i="106"/>
  <c r="O62" i="106"/>
  <c r="M60" i="106"/>
  <c r="K58" i="106"/>
  <c r="J71" i="106"/>
  <c r="K64" i="106"/>
  <c r="O75" i="106"/>
  <c r="M73" i="106"/>
  <c r="K71" i="106"/>
  <c r="P68" i="106"/>
  <c r="N66" i="106"/>
  <c r="L64" i="106"/>
  <c r="J62" i="106"/>
  <c r="O59" i="106"/>
  <c r="L73" i="106"/>
  <c r="M66" i="106"/>
  <c r="P61" i="106"/>
  <c r="M58" i="106"/>
  <c r="P74" i="106"/>
  <c r="N72" i="106"/>
  <c r="L70" i="106"/>
  <c r="J68" i="106"/>
  <c r="O65" i="106"/>
  <c r="M63" i="106"/>
  <c r="K61" i="106"/>
  <c r="P58" i="106"/>
  <c r="N71" i="106"/>
  <c r="L65" i="106"/>
  <c r="P75" i="106"/>
  <c r="N73" i="106"/>
  <c r="L71" i="106"/>
  <c r="J69" i="106"/>
  <c r="O66" i="106"/>
  <c r="M64" i="106"/>
  <c r="K62" i="106"/>
  <c r="P59" i="106"/>
  <c r="K76" i="106"/>
  <c r="L69" i="106"/>
  <c r="N59" i="106"/>
  <c r="K75" i="106"/>
  <c r="P72" i="106"/>
  <c r="N70" i="106"/>
  <c r="L68" i="106"/>
  <c r="J66" i="106"/>
  <c r="O63" i="106"/>
  <c r="M61" i="106"/>
  <c r="K59" i="106"/>
  <c r="K72" i="106"/>
  <c r="L74" i="106"/>
  <c r="K65" i="106"/>
  <c r="P69" i="106"/>
  <c r="O70" i="106"/>
  <c r="N61" i="106"/>
  <c r="P76" i="106"/>
  <c r="O67" i="106"/>
  <c r="N58" i="106"/>
  <c r="O64" i="106"/>
  <c r="J72" i="106"/>
  <c r="P62" i="106"/>
  <c r="J63" i="106"/>
  <c r="M68" i="106"/>
  <c r="L59" i="106"/>
  <c r="N74" i="106"/>
  <c r="M65" i="106"/>
  <c r="L61" i="106"/>
  <c r="O69" i="106"/>
  <c r="N60" i="106"/>
  <c r="L75" i="106"/>
  <c r="K66" i="106"/>
  <c r="M74" i="106"/>
  <c r="L72" i="106"/>
  <c r="K63" i="106"/>
  <c r="N76" i="106"/>
  <c r="P63" i="106"/>
  <c r="M67" i="106"/>
  <c r="N67" i="106"/>
  <c r="J70" i="106"/>
  <c r="J73" i="106"/>
  <c r="P60" i="106"/>
  <c r="L58" i="106"/>
  <c r="T91" i="105"/>
  <c r="K91" i="105"/>
  <c r="H86" i="105"/>
  <c r="P91" i="105"/>
  <c r="M96" i="105"/>
  <c r="M172" i="105"/>
  <c r="H85" i="105"/>
  <c r="K172" i="105"/>
  <c r="K96" i="105"/>
  <c r="N182" i="105"/>
  <c r="N105" i="105"/>
  <c r="M171" i="105"/>
  <c r="M95" i="105"/>
  <c r="P183" i="105"/>
  <c r="P106" i="105"/>
  <c r="L106" i="105"/>
  <c r="L183" i="105"/>
  <c r="N172" i="105"/>
  <c r="N96" i="105"/>
  <c r="L95" i="105"/>
  <c r="L171" i="105"/>
  <c r="K181" i="105"/>
  <c r="K104" i="105"/>
  <c r="M94" i="105"/>
  <c r="M170" i="105"/>
  <c r="J95" i="105"/>
  <c r="J171" i="105"/>
  <c r="J96" i="105"/>
  <c r="J172" i="105"/>
  <c r="T106" i="105"/>
  <c r="T183" i="105"/>
  <c r="O105" i="105"/>
  <c r="O182" i="105"/>
  <c r="M106" i="105"/>
  <c r="M183" i="105"/>
  <c r="M105" i="105"/>
  <c r="M182" i="105"/>
  <c r="J183" i="105"/>
  <c r="J106" i="105"/>
  <c r="L105" i="105"/>
  <c r="L182" i="105"/>
  <c r="N106" i="105"/>
  <c r="N183" i="105"/>
  <c r="J63" i="105"/>
  <c r="L104" i="105"/>
  <c r="L181" i="105"/>
  <c r="P104" i="105"/>
  <c r="P181" i="105"/>
  <c r="O104" i="105"/>
  <c r="O181" i="105"/>
  <c r="N104" i="105"/>
  <c r="N181" i="105"/>
  <c r="J54" i="105"/>
  <c r="L94" i="105"/>
  <c r="L170" i="105"/>
  <c r="K183" i="105"/>
  <c r="K106" i="105"/>
  <c r="T96" i="105"/>
  <c r="T172" i="105"/>
  <c r="N171" i="105"/>
  <c r="N95" i="105"/>
  <c r="T104" i="105"/>
  <c r="T181" i="105"/>
  <c r="M91" i="105"/>
  <c r="M160" i="105" s="1"/>
  <c r="M64" i="82" s="1"/>
  <c r="T105" i="105"/>
  <c r="T182" i="105"/>
  <c r="L96" i="105"/>
  <c r="L172" i="105"/>
  <c r="K105" i="105"/>
  <c r="K182" i="105"/>
  <c r="O183" i="105"/>
  <c r="O106" i="105"/>
  <c r="L91" i="105"/>
  <c r="L160" i="105" s="1"/>
  <c r="L64" i="82" s="1"/>
  <c r="T94" i="105"/>
  <c r="T170" i="105"/>
  <c r="T171" i="105"/>
  <c r="T95" i="105"/>
  <c r="J105" i="105"/>
  <c r="J182" i="105"/>
  <c r="K94" i="105"/>
  <c r="K170" i="105"/>
  <c r="N170" i="105"/>
  <c r="N94" i="105"/>
  <c r="O91" i="105"/>
  <c r="O160" i="105" s="1"/>
  <c r="O64" i="82" s="1"/>
  <c r="P105" i="105"/>
  <c r="P182" i="105"/>
  <c r="J130" i="65"/>
  <c r="N91" i="105"/>
  <c r="N160" i="105" s="1"/>
  <c r="N64" i="82" s="1"/>
  <c r="M181" i="105"/>
  <c r="M104" i="105"/>
  <c r="J52" i="55"/>
  <c r="A4" i="41"/>
  <c r="K171" i="105"/>
  <c r="K95" i="105"/>
  <c r="K134" i="105" l="1"/>
  <c r="K63" i="82" s="1"/>
  <c r="K160" i="105"/>
  <c r="K64" i="82" s="1"/>
  <c r="T162" i="105"/>
  <c r="T65" i="82" s="1"/>
  <c r="T160" i="105"/>
  <c r="T64" i="82" s="1"/>
  <c r="P128" i="105"/>
  <c r="P194" i="105" s="1"/>
  <c r="P160" i="105"/>
  <c r="P64" i="82" s="1"/>
  <c r="T134" i="105"/>
  <c r="T63" i="82" s="1"/>
  <c r="T128" i="105"/>
  <c r="T62" i="82" s="1"/>
  <c r="H158" i="65" a="1"/>
  <c r="H158" i="65" s="1"/>
  <c r="A4" i="65" s="1"/>
  <c r="J16" i="106" a="1"/>
  <c r="K162" i="105"/>
  <c r="K65" i="82" s="1"/>
  <c r="M111" i="105"/>
  <c r="K128" i="105"/>
  <c r="M101" i="105"/>
  <c r="L188" i="105"/>
  <c r="P162" i="105"/>
  <c r="P65" i="82" s="1"/>
  <c r="P134" i="105"/>
  <c r="P63" i="82" s="1"/>
  <c r="K177" i="105"/>
  <c r="O188" i="105"/>
  <c r="L111" i="105"/>
  <c r="L136" i="105" s="1"/>
  <c r="M177" i="105"/>
  <c r="J45" i="105"/>
  <c r="K101" i="105"/>
  <c r="M128" i="105"/>
  <c r="M162" i="105"/>
  <c r="M65" i="82" s="1"/>
  <c r="M134" i="105"/>
  <c r="M63" i="82" s="1"/>
  <c r="T177" i="105"/>
  <c r="T188" i="105"/>
  <c r="T195" i="105" s="1"/>
  <c r="T74" i="82" s="1"/>
  <c r="K62" i="82"/>
  <c r="N101" i="105"/>
  <c r="J94" i="105"/>
  <c r="J170" i="105"/>
  <c r="J177" i="105" s="1"/>
  <c r="O111" i="105"/>
  <c r="M188" i="105"/>
  <c r="N177" i="105"/>
  <c r="L177" i="105"/>
  <c r="N188" i="105"/>
  <c r="P188" i="105"/>
  <c r="K111" i="105"/>
  <c r="N162" i="105"/>
  <c r="N65" i="82" s="1"/>
  <c r="N134" i="105"/>
  <c r="N63" i="82" s="1"/>
  <c r="N128" i="105"/>
  <c r="H105" i="105"/>
  <c r="T101" i="105"/>
  <c r="T111" i="105"/>
  <c r="L101" i="105"/>
  <c r="N111" i="105"/>
  <c r="P111" i="105"/>
  <c r="J104" i="105"/>
  <c r="J181" i="105"/>
  <c r="J188" i="105" s="1"/>
  <c r="H96" i="105"/>
  <c r="K188" i="105"/>
  <c r="O134" i="105"/>
  <c r="O63" i="82" s="1"/>
  <c r="O128" i="105"/>
  <c r="O162" i="105"/>
  <c r="O65" i="82" s="1"/>
  <c r="L162" i="105"/>
  <c r="L65" i="82" s="1"/>
  <c r="L134" i="105"/>
  <c r="L63" i="82" s="1"/>
  <c r="L128" i="105"/>
  <c r="H106" i="105"/>
  <c r="H95" i="105"/>
  <c r="K130" i="105" l="1"/>
  <c r="K136" i="105"/>
  <c r="P62" i="82"/>
  <c r="K135" i="105"/>
  <c r="K129" i="105"/>
  <c r="P195" i="105"/>
  <c r="P74" i="82" s="1"/>
  <c r="P136" i="105"/>
  <c r="P130" i="105"/>
  <c r="T135" i="105"/>
  <c r="T129" i="105"/>
  <c r="T194" i="105"/>
  <c r="T73" i="82" s="1"/>
  <c r="J54" i="55"/>
  <c r="L130" i="105"/>
  <c r="J16" i="106"/>
  <c r="K34" i="106"/>
  <c r="J29" i="106"/>
  <c r="M24" i="106"/>
  <c r="M16" i="106"/>
  <c r="N30" i="106"/>
  <c r="J26" i="106"/>
  <c r="J22" i="106"/>
  <c r="M17" i="106"/>
  <c r="L33" i="106"/>
  <c r="J31" i="106"/>
  <c r="O28" i="106"/>
  <c r="M26" i="106"/>
  <c r="K24" i="106"/>
  <c r="P21" i="106"/>
  <c r="N19" i="106"/>
  <c r="L17" i="106"/>
  <c r="N33" i="106"/>
  <c r="M32" i="106"/>
  <c r="P27" i="106"/>
  <c r="L23" i="106"/>
  <c r="J34" i="106"/>
  <c r="M29" i="106"/>
  <c r="P24" i="106"/>
  <c r="P20" i="106"/>
  <c r="L16" i="106"/>
  <c r="O32" i="106"/>
  <c r="M30" i="106"/>
  <c r="K28" i="106"/>
  <c r="P25" i="106"/>
  <c r="N23" i="106"/>
  <c r="L21" i="106"/>
  <c r="J19" i="106"/>
  <c r="O16" i="106"/>
  <c r="L31" i="106"/>
  <c r="O26" i="106"/>
  <c r="K22" i="106"/>
  <c r="P32" i="106"/>
  <c r="L28" i="106"/>
  <c r="L24" i="106"/>
  <c r="O19" i="106"/>
  <c r="M34" i="106"/>
  <c r="K32" i="106"/>
  <c r="P29" i="106"/>
  <c r="N27" i="106"/>
  <c r="L25" i="106"/>
  <c r="J23" i="106"/>
  <c r="O20" i="106"/>
  <c r="M18" i="106"/>
  <c r="K16" i="106"/>
  <c r="P31" i="106"/>
  <c r="L27" i="106"/>
  <c r="O22" i="106"/>
  <c r="J21" i="106"/>
  <c r="N18" i="106"/>
  <c r="J27" i="106"/>
  <c r="P17" i="106"/>
  <c r="N29" i="106"/>
  <c r="P23" i="106"/>
  <c r="L19" i="106"/>
  <c r="J17" i="106"/>
  <c r="K31" i="106"/>
  <c r="N26" i="106"/>
  <c r="M21" i="106"/>
  <c r="P16" i="106"/>
  <c r="K33" i="106"/>
  <c r="P30" i="106"/>
  <c r="N28" i="106"/>
  <c r="L26" i="106"/>
  <c r="J24" i="106"/>
  <c r="O21" i="106"/>
  <c r="M19" i="106"/>
  <c r="K17" i="106"/>
  <c r="O31" i="106"/>
  <c r="P33" i="106"/>
  <c r="O24" i="106"/>
  <c r="O34" i="106"/>
  <c r="M28" i="106"/>
  <c r="N21" i="106"/>
  <c r="O18" i="106"/>
  <c r="N34" i="106"/>
  <c r="J30" i="106"/>
  <c r="M25" i="106"/>
  <c r="L20" i="106"/>
  <c r="P34" i="106"/>
  <c r="N32" i="106"/>
  <c r="L30" i="106"/>
  <c r="J28" i="106"/>
  <c r="O25" i="106"/>
  <c r="M23" i="106"/>
  <c r="K21" i="106"/>
  <c r="P18" i="106"/>
  <c r="N16" i="106"/>
  <c r="K23" i="106"/>
  <c r="K20" i="106"/>
  <c r="J25" i="106"/>
  <c r="N17" i="106"/>
  <c r="O27" i="106"/>
  <c r="J18" i="106"/>
  <c r="M31" i="106"/>
  <c r="P26" i="106"/>
  <c r="L22" i="106"/>
  <c r="O17" i="106"/>
  <c r="K30" i="106"/>
  <c r="N31" i="106"/>
  <c r="J33" i="106"/>
  <c r="M20" i="106"/>
  <c r="M33" i="106"/>
  <c r="O23" i="106"/>
  <c r="L34" i="106"/>
  <c r="K25" i="106"/>
  <c r="N20" i="106"/>
  <c r="O30" i="106"/>
  <c r="L32" i="106"/>
  <c r="O33" i="106"/>
  <c r="N24" i="106"/>
  <c r="K27" i="106"/>
  <c r="M22" i="106"/>
  <c r="K26" i="106"/>
  <c r="K18" i="106"/>
  <c r="P28" i="106"/>
  <c r="K19" i="106"/>
  <c r="J32" i="106"/>
  <c r="M27" i="106"/>
  <c r="P22" i="106"/>
  <c r="L18" i="106"/>
  <c r="O29" i="106"/>
  <c r="N25" i="106"/>
  <c r="L29" i="106"/>
  <c r="P19" i="106"/>
  <c r="N22" i="106"/>
  <c r="K29" i="106"/>
  <c r="J20" i="106"/>
  <c r="K195" i="105"/>
  <c r="K74" i="82" s="1"/>
  <c r="K194" i="105"/>
  <c r="K73" i="82" s="1"/>
  <c r="N135" i="105"/>
  <c r="N129" i="105"/>
  <c r="N136" i="105"/>
  <c r="N130" i="105"/>
  <c r="O136" i="105"/>
  <c r="O130" i="105"/>
  <c r="J84" i="105"/>
  <c r="L195" i="105"/>
  <c r="L74" i="82" s="1"/>
  <c r="L62" i="82"/>
  <c r="L194" i="105"/>
  <c r="L73" i="82" s="1"/>
  <c r="O195" i="105"/>
  <c r="O74" i="82" s="1"/>
  <c r="O62" i="82"/>
  <c r="O194" i="105"/>
  <c r="L135" i="105"/>
  <c r="L129" i="105"/>
  <c r="N194" i="105"/>
  <c r="N73" i="82" s="1"/>
  <c r="N195" i="105"/>
  <c r="N74" i="82" s="1"/>
  <c r="N62" i="82"/>
  <c r="M194" i="105"/>
  <c r="M73" i="82" s="1"/>
  <c r="M62" i="82"/>
  <c r="M195" i="105"/>
  <c r="M74" i="82" s="1"/>
  <c r="H104" i="105"/>
  <c r="H111" i="105" s="1"/>
  <c r="J111" i="105"/>
  <c r="T136" i="105"/>
  <c r="T130" i="105"/>
  <c r="H94" i="105"/>
  <c r="H101" i="105" s="1"/>
  <c r="J101" i="105"/>
  <c r="H80" i="106" l="1" a="1"/>
  <c r="H80" i="106" s="1"/>
  <c r="J135" i="105"/>
  <c r="J129" i="105"/>
  <c r="J130" i="105"/>
  <c r="J136" i="105"/>
  <c r="H84" i="105"/>
  <c r="J91" i="105"/>
  <c r="J160" i="105" s="1"/>
  <c r="J64" i="82" s="1"/>
  <c r="J56" i="55" l="1"/>
  <c r="A4" i="106"/>
  <c r="J162" i="105"/>
  <c r="J65" i="82" s="1"/>
  <c r="J134" i="105"/>
  <c r="J63" i="82" s="1"/>
  <c r="J128" i="105"/>
  <c r="H91" i="105"/>
  <c r="H120" i="105" s="1"/>
  <c r="H121" i="105" s="1"/>
  <c r="H123" i="105" l="1"/>
  <c r="H124" i="105"/>
  <c r="J62" i="82"/>
  <c r="J195" i="105"/>
  <c r="J74" i="82" s="1"/>
  <c r="J194" i="105"/>
  <c r="J73" i="82" s="1"/>
  <c r="H199" i="105" l="1" a="1"/>
  <c r="H199" i="105" s="1"/>
  <c r="J55" i="55" s="1"/>
  <c r="H78" i="82" a="1"/>
  <c r="H78" i="82" s="1"/>
  <c r="J57" i="55" s="1"/>
  <c r="A4" i="105" l="1"/>
  <c r="A4" i="82"/>
  <c r="J58" i="55"/>
  <c r="A4" i="55" s="1"/>
</calcChain>
</file>

<file path=xl/sharedStrings.xml><?xml version="1.0" encoding="utf-8"?>
<sst xmlns="http://schemas.openxmlformats.org/spreadsheetml/2006/main" count="6164" uniqueCount="1050">
  <si>
    <t>CDCM charging model</t>
  </si>
  <si>
    <t>DISCLAIMER</t>
  </si>
  <si>
    <t>© All rights reserved by Cambridge Economic Policy Associates Ltd (CEPA) and TNEI Services Ltd (TNEI).</t>
  </si>
  <si>
    <t>Charging year:</t>
  </si>
  <si>
    <t>DNO name:</t>
  </si>
  <si>
    <t>Data version:</t>
  </si>
  <si>
    <t>Notes:</t>
  </si>
  <si>
    <t>Key:</t>
  </si>
  <si>
    <t>Format</t>
  </si>
  <si>
    <t>Description</t>
  </si>
  <si>
    <t>Cell intentionally blank</t>
  </si>
  <si>
    <t>Value</t>
  </si>
  <si>
    <t>Hardcoded input</t>
  </si>
  <si>
    <t>User input</t>
  </si>
  <si>
    <t>Model output</t>
  </si>
  <si>
    <t>Calculation</t>
  </si>
  <si>
    <t>Value from another worksheet</t>
  </si>
  <si>
    <t>Value used on another worksheet</t>
  </si>
  <si>
    <t>Issue identified in a check</t>
  </si>
  <si>
    <t>Text</t>
  </si>
  <si>
    <t>Label</t>
  </si>
  <si>
    <t>Annotation</t>
  </si>
  <si>
    <t>Column heading</t>
  </si>
  <si>
    <t>Level 1 heading</t>
  </si>
  <si>
    <t>Level 2 heading</t>
  </si>
  <si>
    <t>Level 3 and 4 heading</t>
  </si>
  <si>
    <t>Sheet tab colour</t>
  </si>
  <si>
    <t>Information sheet</t>
  </si>
  <si>
    <t>Input sheet</t>
  </si>
  <si>
    <t>Calculation sheet</t>
  </si>
  <si>
    <t>Output sheet</t>
  </si>
  <si>
    <t>Model version</t>
  </si>
  <si>
    <t>Model date:</t>
  </si>
  <si>
    <t>Development stage:</t>
  </si>
  <si>
    <t>DCUSA text version:</t>
  </si>
  <si>
    <t>DCUSA text schedule:</t>
  </si>
  <si>
    <t>Version log</t>
  </si>
  <si>
    <t>Model date</t>
  </si>
  <si>
    <t>Development stage</t>
  </si>
  <si>
    <t>DCUSA text version</t>
  </si>
  <si>
    <t>DCUSA text schedule</t>
  </si>
  <si>
    <t>Author</t>
  </si>
  <si>
    <t>Description of changes</t>
  </si>
  <si>
    <t>Pre-release</t>
  </si>
  <si>
    <t>2019-20 pre-release plus Expert Panel clarifications</t>
  </si>
  <si>
    <t>Schedule 16</t>
  </si>
  <si>
    <t>CEPA-TNEI</t>
  </si>
  <si>
    <t>-</t>
  </si>
  <si>
    <t>DCUSA v10.3 (released 28/06/2018)</t>
  </si>
  <si>
    <t>References to DCUSA text updated to comply with version 10.3 (released 28/06/2018).</t>
  </si>
  <si>
    <t>Model checks</t>
  </si>
  <si>
    <t>Issues identified by in-built model checks, by sheet</t>
  </si>
  <si>
    <t>Fixed inputs</t>
  </si>
  <si>
    <t>Input 101</t>
  </si>
  <si>
    <t>number of issues</t>
  </si>
  <si>
    <t>Inputs by customer type</t>
  </si>
  <si>
    <t>Input 102</t>
  </si>
  <si>
    <t>Inputs by network level</t>
  </si>
  <si>
    <t>Input 103</t>
  </si>
  <si>
    <t>General inputs</t>
  </si>
  <si>
    <t>Input 104</t>
  </si>
  <si>
    <t>Standing Charge Factors</t>
  </si>
  <si>
    <t>Section 101</t>
  </si>
  <si>
    <t>Load &amp; loss characteristics</t>
  </si>
  <si>
    <t>Section 102</t>
  </si>
  <si>
    <t>Customer contributions</t>
  </si>
  <si>
    <t>Section 103</t>
  </si>
  <si>
    <t>Volume adjustments</t>
  </si>
  <si>
    <t>Section 104</t>
  </si>
  <si>
    <t>Pseudo-load coefficients</t>
  </si>
  <si>
    <t>Section 105</t>
  </si>
  <si>
    <t>System peak demand</t>
  </si>
  <si>
    <t>Section 106</t>
  </si>
  <si>
    <t>Service model assets</t>
  </si>
  <si>
    <t>Section 107</t>
  </si>
  <si>
    <t>Unit costs</t>
  </si>
  <si>
    <t>Section 108</t>
  </si>
  <si>
    <t>Initial unit rates</t>
  </si>
  <si>
    <t>Section 109</t>
  </si>
  <si>
    <t>Service model charges</t>
  </si>
  <si>
    <t>Section 110</t>
  </si>
  <si>
    <t>Unit rate charges</t>
  </si>
  <si>
    <t>Section 111</t>
  </si>
  <si>
    <t>Reactive power charges</t>
  </si>
  <si>
    <t>Section 112</t>
  </si>
  <si>
    <t>Capacity charges</t>
  </si>
  <si>
    <t>Section 113</t>
  </si>
  <si>
    <t>Fixed charges</t>
  </si>
  <si>
    <t>Section 114</t>
  </si>
  <si>
    <t>Revenue matching</t>
  </si>
  <si>
    <t>Section 115</t>
  </si>
  <si>
    <t>Rounding</t>
  </si>
  <si>
    <t>Section 116</t>
  </si>
  <si>
    <t>Net revenue summary</t>
  </si>
  <si>
    <t>Section 117</t>
  </si>
  <si>
    <t>Tariff summary</t>
  </si>
  <si>
    <t>Output 101</t>
  </si>
  <si>
    <t>Output to other models</t>
  </si>
  <si>
    <t>Output 102</t>
  </si>
  <si>
    <t>Total</t>
  </si>
  <si>
    <t>Version log lists</t>
  </si>
  <si>
    <t>Development stages</t>
  </si>
  <si>
    <t>Working draft</t>
  </si>
  <si>
    <t>Interim release</t>
  </si>
  <si>
    <t>…</t>
  </si>
  <si>
    <t>End of sheet</t>
  </si>
  <si>
    <t>Model map</t>
  </si>
  <si>
    <t>This sheet contains links to each sheet of the model and the main sections within them.</t>
  </si>
  <si>
    <t>It also contains links to more granular sections within the sheets for inputs, calculations and outputs.</t>
  </si>
  <si>
    <t>Index of sheets and main sections</t>
  </si>
  <si>
    <t>The following table provides links to all the sheets within this model and the main sections within them.</t>
  </si>
  <si>
    <t>Sheet</t>
  </si>
  <si>
    <t>Section</t>
  </si>
  <si>
    <t>Cover</t>
  </si>
  <si>
    <t>Version control</t>
  </si>
  <si>
    <t/>
  </si>
  <si>
    <t>Named ranges</t>
  </si>
  <si>
    <t>Index of inputs, calculation sections and outputs</t>
  </si>
  <si>
    <t>The following table provides links to each input, calculation and output section. Each has a unique identifier for ease of reference.</t>
  </si>
  <si>
    <t>Standing charge factors</t>
  </si>
  <si>
    <t>List of named ranges</t>
  </si>
  <si>
    <t>charging_year</t>
  </si>
  <si>
    <t>Year for which charges are being calculated</t>
  </si>
  <si>
    <t>check_decimals</t>
  </si>
  <si>
    <t>Number of decimal places of precision for in-built model checks</t>
  </si>
  <si>
    <t>days_in_year</t>
  </si>
  <si>
    <t>Days in the charging year</t>
  </si>
  <si>
    <t>DNO_name</t>
  </si>
  <si>
    <t>Name of DNO</t>
  </si>
  <si>
    <t>hours_in_day</t>
  </si>
  <si>
    <t>Hours per day</t>
  </si>
  <si>
    <t>hours_in_year</t>
  </si>
  <si>
    <t>Hours in the charging year</t>
  </si>
  <si>
    <t>hundred</t>
  </si>
  <si>
    <t>Equal to 100</t>
  </si>
  <si>
    <t>PowerFactor</t>
  </si>
  <si>
    <t>Power factor, equal to 0.95</t>
  </si>
  <si>
    <t>ten</t>
  </si>
  <si>
    <t>Equal to 10</t>
  </si>
  <si>
    <t>thousand</t>
  </si>
  <si>
    <t>Equal to 1000</t>
  </si>
  <si>
    <t>Click here to return to model map</t>
  </si>
  <si>
    <t>Units</t>
  </si>
  <si>
    <t>Constants</t>
  </si>
  <si>
    <t>Legal text reference</t>
  </si>
  <si>
    <t>This sheet sets out the inputs that should be constant across DNOs</t>
  </si>
  <si>
    <t>hours</t>
  </si>
  <si>
    <t>Ten</t>
  </si>
  <si>
    <t>integer</t>
  </si>
  <si>
    <t>One hundred</t>
  </si>
  <si>
    <t>One thousand</t>
  </si>
  <si>
    <t>Number of decimal places each final charge should be rounded to, specified in Paragraph 14.</t>
  </si>
  <si>
    <t>Decimal places</t>
  </si>
  <si>
    <t>&gt;</t>
  </si>
  <si>
    <t>Paragraph 14</t>
  </si>
  <si>
    <t>Unit rate 1</t>
  </si>
  <si>
    <t>Unit rate 2</t>
  </si>
  <si>
    <t>Unit rate 3</t>
  </si>
  <si>
    <t>Fixed charge</t>
  </si>
  <si>
    <t>Capacity charge</t>
  </si>
  <si>
    <t>Exceeded capacity charge</t>
  </si>
  <si>
    <t>Reactive power charge</t>
  </si>
  <si>
    <t>Annualisation period</t>
  </si>
  <si>
    <t>years</t>
  </si>
  <si>
    <t>Paragraph 57</t>
  </si>
  <si>
    <t>Power factor</t>
  </si>
  <si>
    <t>%</t>
  </si>
  <si>
    <t>Paragraphs 21 &amp; 79</t>
  </si>
  <si>
    <t>Indirect cost proportion</t>
  </si>
  <si>
    <t>Paragraph 39</t>
  </si>
  <si>
    <t>Network model GSP peak demand</t>
  </si>
  <si>
    <t>MW</t>
  </si>
  <si>
    <t>Paragraph 20</t>
  </si>
  <si>
    <t>LDNO discount map</t>
  </si>
  <si>
    <t>LDNO LV: LV user</t>
  </si>
  <si>
    <t>1 or 0</t>
  </si>
  <si>
    <t>LDNO HV: LV user</t>
  </si>
  <si>
    <t>LDNO HV: LV Sub user</t>
  </si>
  <si>
    <t>LDNO HV: HV user</t>
  </si>
  <si>
    <t>Network level at which users are supplied</t>
  </si>
  <si>
    <t>Paragraph 30</t>
  </si>
  <si>
    <t>Network use factors based on customer contributed assets</t>
  </si>
  <si>
    <t>HV substation</t>
  </si>
  <si>
    <t>HV network</t>
  </si>
  <si>
    <t>LV substation</t>
  </si>
  <si>
    <t>LV network</t>
  </si>
  <si>
    <t>Network use factors (assuming generation contributes at level of connection)</t>
  </si>
  <si>
    <t>These assume demand and generation use the network from the point of connection.</t>
  </si>
  <si>
    <t>Transmission exit</t>
  </si>
  <si>
    <t>1, 0 or -1</t>
  </si>
  <si>
    <t>GSPs</t>
  </si>
  <si>
    <t>132kV</t>
  </si>
  <si>
    <t>132kV/EHV</t>
  </si>
  <si>
    <t>EHV</t>
  </si>
  <si>
    <t>EHV/HV</t>
  </si>
  <si>
    <t>132kV/HV</t>
  </si>
  <si>
    <t>HV</t>
  </si>
  <si>
    <t>HV/LV</t>
  </si>
  <si>
    <t>LV circuits</t>
  </si>
  <si>
    <t>Network use factors (assuming generation makes no contribution at level of connection)</t>
  </si>
  <si>
    <t>Paragraphs 62 &amp; 71</t>
  </si>
  <si>
    <t>Equal to 0 for the network level at which generation is connected, otherwise equal to network use factor</t>
  </si>
  <si>
    <t>Paragraph 74</t>
  </si>
  <si>
    <t>Override discount rate applied</t>
  </si>
  <si>
    <t xml:space="preserve">See Schedule 16, para 125. This has been interpreted to mean that MPANs are fully discounted, </t>
  </si>
  <si>
    <t>and everything else is not</t>
  </si>
  <si>
    <t>MWh</t>
  </si>
  <si>
    <t>Override discount</t>
  </si>
  <si>
    <t>TRUE / FALSE</t>
  </si>
  <si>
    <t>Paragraph 99</t>
  </si>
  <si>
    <t>Discount %</t>
  </si>
  <si>
    <t>MPANs</t>
  </si>
  <si>
    <t>Import capacity (kVA)</t>
  </si>
  <si>
    <t>Exceeded capacity (kVA)</t>
  </si>
  <si>
    <t>Reactive power units (MVArh)</t>
  </si>
  <si>
    <t>Unmetered supply flags</t>
  </si>
  <si>
    <t>These are used to flag UMS tariff forecast in the pseudo load coefficient calculations, because UMS</t>
  </si>
  <si>
    <t>customers are subject to a different timebanding</t>
  </si>
  <si>
    <t>Flags used in calculation of LV diversity allowance</t>
  </si>
  <si>
    <t>FALSE = exclude</t>
  </si>
  <si>
    <t>Flag for customers included in aggregate maximum demand</t>
  </si>
  <si>
    <t>Flags for applicability of capacity &amp; reactive charges</t>
  </si>
  <si>
    <t>Paragraphs 141 &amp; 146</t>
  </si>
  <si>
    <t>0 = charges not applicable to customer type</t>
  </si>
  <si>
    <t>For fixed charges, 1 = capacity element is allocated to fixed charges</t>
  </si>
  <si>
    <t>Reactive power</t>
  </si>
  <si>
    <t>Capacity charge allocated to fixed charge</t>
  </si>
  <si>
    <t>Groupings for fixed charges</t>
  </si>
  <si>
    <t>Sets out the groups that are aggregated when calculating fixed charges. Each group is given an identifier.</t>
  </si>
  <si>
    <t>Decimals of precision for error checks</t>
  </si>
  <si>
    <t>Checks</t>
  </si>
  <si>
    <t>Check for error values</t>
  </si>
  <si>
    <t>Check that discount overrides are either FALSE, or non-zero</t>
  </si>
  <si>
    <t>MWh override</t>
  </si>
  <si>
    <t>MPAN override</t>
  </si>
  <si>
    <t>Import capacity override</t>
  </si>
  <si>
    <t>Exceeded capacity override</t>
  </si>
  <si>
    <t>Reactive power override</t>
  </si>
  <si>
    <t>Summary of checks</t>
  </si>
  <si>
    <t>This sheet sets out the inputs by customer type to be filled in by DNOs.</t>
  </si>
  <si>
    <t>Load factor</t>
  </si>
  <si>
    <t>Paragraph 42 (a)</t>
  </si>
  <si>
    <t>Coincidence factor</t>
  </si>
  <si>
    <t>Paragraph 42 (b)</t>
  </si>
  <si>
    <t>All the way volume forecast</t>
  </si>
  <si>
    <t>Paragraph 52</t>
  </si>
  <si>
    <t>Rate 1 units</t>
  </si>
  <si>
    <t>Rate 2 units</t>
  </si>
  <si>
    <t>Rate 3 units</t>
  </si>
  <si>
    <t>Import capacity</t>
  </si>
  <si>
    <t>kVA</t>
  </si>
  <si>
    <t>Exceeded capacity</t>
  </si>
  <si>
    <t>Reactive power units</t>
  </si>
  <si>
    <t>MVArh</t>
  </si>
  <si>
    <t>LDNO LV volume forecast</t>
  </si>
  <si>
    <t>LDNO HV volume forecast</t>
  </si>
  <si>
    <t>Green</t>
  </si>
  <si>
    <t>Service model costs should be entered per customer or per MWh for unmetered customers</t>
  </si>
  <si>
    <t>Paragraphs 32 to 37</t>
  </si>
  <si>
    <t>LV customer service model asset values</t>
  </si>
  <si>
    <t>£ per MPAN</t>
  </si>
  <si>
    <t>HV customer service model asset values</t>
  </si>
  <si>
    <t>LV UMS customer service model asset values</t>
  </si>
  <si>
    <t>£/MWh/year</t>
  </si>
  <si>
    <t>Paragraph 36</t>
  </si>
  <si>
    <t xml:space="preserve">Previous year tariff forecast are not an input to tariff calculations in the CDCM itself, </t>
  </si>
  <si>
    <t>but are used by some DNOs to complete 'Tariff Movement Explanation' reports.</t>
  </si>
  <si>
    <t>Previous year all-the-way tariff forecast</t>
  </si>
  <si>
    <t>p/kWh</t>
  </si>
  <si>
    <t>p/MPAN/day</t>
  </si>
  <si>
    <t>p/kVA/day</t>
  </si>
  <si>
    <t>p/kVArh</t>
  </si>
  <si>
    <t xml:space="preserve">Previous year net revenue is not an input to tariff calculations in the CDCM itself, </t>
  </si>
  <si>
    <t>but is used by some DNOs to complete 'Tariff Movement Explanation' reports.</t>
  </si>
  <si>
    <t>If this table is left blank the model will estimate previous year net revenue using volume forecasts for the current charging year.</t>
  </si>
  <si>
    <t>Previous year net revenue</t>
  </si>
  <si>
    <t>£</t>
  </si>
  <si>
    <t>This sheet sets out the inputs by network level to be filled in by DNOs.</t>
  </si>
  <si>
    <t>Diversity allowance between top and bottom of network level</t>
  </si>
  <si>
    <t>Paragraphs 26 to 28</t>
  </si>
  <si>
    <t>Proportion of load going through 132kV/HV direct transformation</t>
  </si>
  <si>
    <t>Loss adjustment factors to transmission</t>
  </si>
  <si>
    <t>scalar</t>
  </si>
  <si>
    <t>Paragraph 47</t>
  </si>
  <si>
    <t>Average kVAr by kVA, by network level</t>
  </si>
  <si>
    <t>kVAr/kVA</t>
  </si>
  <si>
    <t>Paragraphs 50 to 51</t>
  </si>
  <si>
    <t>Paragraphs 29 to 31</t>
  </si>
  <si>
    <t>Customer contributions under current connection charging policy</t>
  </si>
  <si>
    <t>Gross asset cost by network level</t>
  </si>
  <si>
    <t>Red, Amber &amp; Green peaking probabilities must sum to 100%, except for unused network levels, which should sum to 0%</t>
  </si>
  <si>
    <t>Peaking probabilities by network level</t>
  </si>
  <si>
    <t>Paragraphs 48 to 49</t>
  </si>
  <si>
    <t>Red</t>
  </si>
  <si>
    <t>Amber</t>
  </si>
  <si>
    <t>Black</t>
  </si>
  <si>
    <t>Check that loss adjustment factor = 1 at grid supply point</t>
  </si>
  <si>
    <t>Peaking probabilities check</t>
  </si>
  <si>
    <t>0% peaking probabilities are permitted for 132kV, 132kV/EHV &amp; 132kV/HV network levels, which do not exist for all DNOs</t>
  </si>
  <si>
    <t>General</t>
  </si>
  <si>
    <t>This sheet sets out the other inputs to be filled in by DNOs</t>
  </si>
  <si>
    <t>Typical annual hours by special distribution time band</t>
  </si>
  <si>
    <t>Paragraphs 40 to 41</t>
  </si>
  <si>
    <t>hours per year</t>
  </si>
  <si>
    <t>Yellow</t>
  </si>
  <si>
    <t>Typical annual hours by distribution time band</t>
  </si>
  <si>
    <t>Inputs sourced from the PCDM</t>
  </si>
  <si>
    <t>Embedded network (LDNO) discount percentages</t>
  </si>
  <si>
    <t>Paragraph 53</t>
  </si>
  <si>
    <t>The contents of this table are defined in Paragraph 1.5 of Schedule 15 (Table 1)</t>
  </si>
  <si>
    <t>Paragraph 54 and Schedule 15 Table 1</t>
  </si>
  <si>
    <t>Base Demand Revenue before inflation</t>
  </si>
  <si>
    <t>Annual Iteration adjustment before inflation</t>
  </si>
  <si>
    <t>RPI True-up before inflation</t>
  </si>
  <si>
    <t>Price index adjustment (RPI index)</t>
  </si>
  <si>
    <t>Base demand revenue</t>
  </si>
  <si>
    <t>Inflation adjustment</t>
  </si>
  <si>
    <t>Pass-Through Licence Fees</t>
  </si>
  <si>
    <t>Pass-Through Business Rates</t>
  </si>
  <si>
    <t>Pass-Through Transmission Connection Point Charges</t>
  </si>
  <si>
    <t>Pass-through Smart Meter Communication Licence Costs</t>
  </si>
  <si>
    <t>Pass-through Smart Meter IT Costs</t>
  </si>
  <si>
    <t>Pass-through Ring Fence Costs</t>
  </si>
  <si>
    <t>Pass-Through Others</t>
  </si>
  <si>
    <t>Allowed Pass-Through Items</t>
  </si>
  <si>
    <t>Broad Measure of Customer Service incentive</t>
  </si>
  <si>
    <t>Quality of Service incentive</t>
  </si>
  <si>
    <t>Connections Engagement incentive</t>
  </si>
  <si>
    <t>Time to Connect incentive</t>
  </si>
  <si>
    <t>Losses Discretionary Reward incentive</t>
  </si>
  <si>
    <t>Network Innovation Allowance</t>
  </si>
  <si>
    <t>Low Carbon Network Fund - Tier 1 unrecoverable</t>
  </si>
  <si>
    <t>Low Carbon Network Fund - Tier 2 &amp; Discretionary Funding</t>
  </si>
  <si>
    <t>Connection Guaranteed Standards Systems &amp; Processes penalty</t>
  </si>
  <si>
    <t>Residual Losses and Growth Incentive - Losses</t>
  </si>
  <si>
    <t>Residual Losses and Growth Incentive - Growth</t>
  </si>
  <si>
    <t>Incentive Revenue and Other Adjustments</t>
  </si>
  <si>
    <t>Correction Factor</t>
  </si>
  <si>
    <t>Total allowed Revenue</t>
  </si>
  <si>
    <t>Other 1. Excluded services - Top-up, standby, and enhanced system security</t>
  </si>
  <si>
    <t>Other 2. Excluded services - Revenue protection services</t>
  </si>
  <si>
    <t>Other 3. Excluded services - Miscellaneous</t>
  </si>
  <si>
    <t>Other 4. Please describe if used</t>
  </si>
  <si>
    <t>Other 5. Please describe if used</t>
  </si>
  <si>
    <t>Total other revenue recovered by Use of System Charges</t>
  </si>
  <si>
    <t>Total Revenue for Use of System Charges</t>
  </si>
  <si>
    <t>1. Revenue raised outside CDCM - EDCM and Certain Interconnector Revenue</t>
  </si>
  <si>
    <t>2. Revenue raised outside CDCM - Voluntary under-recovery</t>
  </si>
  <si>
    <t>3. Revenue raised outside CDCM - Please describe if used</t>
  </si>
  <si>
    <t>4. Revenue raised outside CDCM - Please describe if used</t>
  </si>
  <si>
    <t>Total Revenue to be raised outside the CDCM</t>
  </si>
  <si>
    <t>Latest forecast of CDCM Revenue</t>
  </si>
  <si>
    <t>Real pre-tax cost of capital</t>
  </si>
  <si>
    <t>days</t>
  </si>
  <si>
    <t>Hours in charging year</t>
  </si>
  <si>
    <t>Transmission exit charges</t>
  </si>
  <si>
    <t>£ per year</t>
  </si>
  <si>
    <t>Paragraph 38</t>
  </si>
  <si>
    <t>Other expenditure</t>
  </si>
  <si>
    <t>Direct cost</t>
  </si>
  <si>
    <t>Indirect cost</t>
  </si>
  <si>
    <t>Network rates</t>
  </si>
  <si>
    <t>Hours in charging year check</t>
  </si>
  <si>
    <t>Normal distribution timebands</t>
  </si>
  <si>
    <t>Special distribution timebands</t>
  </si>
  <si>
    <t>This sheet contains standing charge factors, as described in DCUSA Schedule 16, Paragraphs 74-76.</t>
  </si>
  <si>
    <t xml:space="preserve">Standing charge factors are used to split network costs between those to be recovered through unit rate charges </t>
  </si>
  <si>
    <t xml:space="preserve">and those to be recovered through standing (capacity or fixed) charges, depending on the customer class and </t>
  </si>
  <si>
    <t>the network level at which costs occur.</t>
  </si>
  <si>
    <t>Standing charge factors are only applied for demand users.</t>
  </si>
  <si>
    <t>A factor of 100% implies that all costs will be allocated to standing charges.</t>
  </si>
  <si>
    <t>Adjustments to standing charges</t>
  </si>
  <si>
    <t>Brings in standing charge factors and adjusts them for share of load going through 132/HV</t>
  </si>
  <si>
    <t>Raw inputs for standing charge factors, by network level</t>
  </si>
  <si>
    <t>Standing charge factors as specified in Paragraph 74</t>
  </si>
  <si>
    <t>LV customers</t>
  </si>
  <si>
    <t>HV customers</t>
  </si>
  <si>
    <t>Standing charges factors adapted to use 132kV/HV, by network level</t>
  </si>
  <si>
    <t>Adjustments as described in Paragraph 75 and 76</t>
  </si>
  <si>
    <t>Paragraph 76</t>
  </si>
  <si>
    <t>Paragraph 75</t>
  </si>
  <si>
    <t>This sheet adjusts diversity allowances, coincidence factors and loss adjustment factors for use in the model</t>
  </si>
  <si>
    <t>This sheet then uses network use factors and loss adjustment factors to calculate user loss factors</t>
  </si>
  <si>
    <t>Network use factors and user loss factors are also adjusted for the share of load going through 132/HV transformation</t>
  </si>
  <si>
    <t>Load and loss characteristics</t>
  </si>
  <si>
    <t>Brings in diversity allowances to calculate coincidence and cumulative diversity factors. Also adjusts loss adjustment factors.</t>
  </si>
  <si>
    <t>Network model diversity allowances</t>
  </si>
  <si>
    <t>Network model cumulative diversity factor</t>
  </si>
  <si>
    <t>Adjustment for 132/HV diversity</t>
  </si>
  <si>
    <t>Adjusted network model cumulative diversity factor</t>
  </si>
  <si>
    <t>Paragraphs 42 to 44</t>
  </si>
  <si>
    <t>Loss adjustment factor to transmission</t>
  </si>
  <si>
    <t>Adjustment for 132/HV transformation &amp; transmission exit</t>
  </si>
  <si>
    <t>Loss adjustment factor to transmission for each DRM network level</t>
  </si>
  <si>
    <t>User loss factor adjustments</t>
  </si>
  <si>
    <t>Calculates user loss factors and makes adjustments for share of load going through 132kV/HV</t>
  </si>
  <si>
    <t>Adjustment to network use factors for 132/HV share</t>
  </si>
  <si>
    <t>Network use factors assume demand and generation use the network from the point of connection.</t>
  </si>
  <si>
    <t>These values are drawn from the "Fixed inputs" sheet.</t>
  </si>
  <si>
    <t>Network use factors (assuming generation contributes at level of connection) scaled for 132/HV</t>
  </si>
  <si>
    <t>These have been adjusted for the share of load going through 132/HV transformation</t>
  </si>
  <si>
    <t>Paragraphs 62 and 71</t>
  </si>
  <si>
    <t>Network use factors (assuming generation makes no contribution at level of connection), scaled for 132/HV</t>
  </si>
  <si>
    <t>User loss factor (assuming generation contributes at level of connection)</t>
  </si>
  <si>
    <t>For demand, it is the loss factor at network level which user is supplied.</t>
  </si>
  <si>
    <t>For generation, it is the loss factor at network level which user is supplied.</t>
  </si>
  <si>
    <t>Maximum</t>
  </si>
  <si>
    <t>User loss factor (assuming generation does not contribute at level of connection)</t>
  </si>
  <si>
    <t>Paragraph 70 (a)</t>
  </si>
  <si>
    <t xml:space="preserve">This sheet calculates customer contributions towards assets (i.e. assets that are paid for, and should not be </t>
  </si>
  <si>
    <t>recovered under UoS charges)</t>
  </si>
  <si>
    <t>Maps customer contributions to customer categories</t>
  </si>
  <si>
    <t>Customer contributions, by network level of supply</t>
  </si>
  <si>
    <t>Paragraph 29</t>
  </si>
  <si>
    <t>Share of customer contributions by network level and asset type</t>
  </si>
  <si>
    <t>Customer contributions, by network level</t>
  </si>
  <si>
    <t>Customer contributions by network level and customer type based on mappings above</t>
  </si>
  <si>
    <t>This sheet calculates volumes (kWh, MPAN, import and exceeded capacity) to be used throughout the model.</t>
  </si>
  <si>
    <t xml:space="preserve">This sheet first calculates the discounts to be applied to LDNO volumes, then combines these with volumes for </t>
  </si>
  <si>
    <t>all the way customers.</t>
  </si>
  <si>
    <t>LDNO discounts</t>
  </si>
  <si>
    <t>This section maps the LDNO discounts from the PCDM to different customer categories</t>
  </si>
  <si>
    <t>Generation LDNO customers do not receive the standard LDNO discounts, and this adjustment is made in this section</t>
  </si>
  <si>
    <t>Discounts from PCDM</t>
  </si>
  <si>
    <t>LDNO discounts calculated in the PCDM</t>
  </si>
  <si>
    <t>Paragraph 97</t>
  </si>
  <si>
    <t>Discount mapping</t>
  </si>
  <si>
    <t>Paragraphs 98 &amp; 99</t>
  </si>
  <si>
    <t xml:space="preserve">Maps customer types to LDNO discount categories and calculates the appropriate discount to be applied to </t>
  </si>
  <si>
    <t>each customer</t>
  </si>
  <si>
    <t>LV discount</t>
  </si>
  <si>
    <t>HV discount</t>
  </si>
  <si>
    <t>Discount override</t>
  </si>
  <si>
    <t>This table overrides discount factors for certain categories of user</t>
  </si>
  <si>
    <t>Flag for overriding MWh discount rate</t>
  </si>
  <si>
    <t>Flag for overriding MPAN discount rate</t>
  </si>
  <si>
    <t>Flag for overriding import capacity discount rate</t>
  </si>
  <si>
    <t>Flag for overriding exceeded capacity discount rate</t>
  </si>
  <si>
    <t>Flag for overriding reactive power units discount rate</t>
  </si>
  <si>
    <t>Override MWh discount rate</t>
  </si>
  <si>
    <t>Override MPAN discount rate</t>
  </si>
  <si>
    <t>Override import capacity discount rate</t>
  </si>
  <si>
    <t>Override exceeded capacity discount rate</t>
  </si>
  <si>
    <t>Override reactive power units discount rate</t>
  </si>
  <si>
    <t>Volume discounting</t>
  </si>
  <si>
    <t>Applies LDNO discounts and aggregates with volumes from all the way customers</t>
  </si>
  <si>
    <t>All the way customers</t>
  </si>
  <si>
    <t>LDNO LV</t>
  </si>
  <si>
    <t>LDNO HV</t>
  </si>
  <si>
    <t>LDNO LV discount rate applied</t>
  </si>
  <si>
    <t>LDNO HV discount rate applied</t>
  </si>
  <si>
    <t>LDNO LV, discounted</t>
  </si>
  <si>
    <t>LDNO HV, discounted</t>
  </si>
  <si>
    <t>Total after discounting</t>
  </si>
  <si>
    <t>Total units</t>
  </si>
  <si>
    <t>The pseudo load coefficient is specified by customer category, network level and unit rate.</t>
  </si>
  <si>
    <t>The calculations in this sheet follow the steps set out in Paragraph 70.</t>
  </si>
  <si>
    <t>Step 1: Ratio of coincidence to load factor assuming units evenly spread within time bands, and peak falls in Red period</t>
  </si>
  <si>
    <t>The last part of this section then calculates the ratio of coincidence to load factor based on a simplified load profile.</t>
  </si>
  <si>
    <t>Flag for unmetered customers</t>
  </si>
  <si>
    <t>TRUE/FALSE</t>
  </si>
  <si>
    <t>Hours per timeband</t>
  </si>
  <si>
    <t>Paragraph 40</t>
  </si>
  <si>
    <t>UMS customers use Black &amp; Yellow timebands, other customers use Red &amp; Amber</t>
  </si>
  <si>
    <t>Red or Black</t>
  </si>
  <si>
    <t>Amber or Yellow</t>
  </si>
  <si>
    <t>Split of units by time pattern regime</t>
  </si>
  <si>
    <t>Ratio of coincidence to load factor</t>
  </si>
  <si>
    <t>Step 2: Calculate correction factor</t>
  </si>
  <si>
    <t>This section calculates the correction factor described in Paragraph 70 (c) ii</t>
  </si>
  <si>
    <t>Maximum load</t>
  </si>
  <si>
    <t>Load coefficient</t>
  </si>
  <si>
    <t>Correction factor</t>
  </si>
  <si>
    <t>Paragraph 70 (c.ii)</t>
  </si>
  <si>
    <t>Step 3: Ratio of coincidence factor (to network asset peak) to load factor, given peaking probabilities, multiplied by correction factor</t>
  </si>
  <si>
    <t>Paragraph 70 (c.iii)</t>
  </si>
  <si>
    <t>This section calculates the pseudo load coefficient in line with Paragraph 70 (c) iii</t>
  </si>
  <si>
    <t>Mathematical simplifications have been used to avoid errors when estimated volumes are zero</t>
  </si>
  <si>
    <t>GSPs peaking probabilities</t>
  </si>
  <si>
    <t>132kV peaking probabilities</t>
  </si>
  <si>
    <t>132kV/EHV peaking probabilities</t>
  </si>
  <si>
    <t>EHV peaking probabilities</t>
  </si>
  <si>
    <t>EHV/HV peaking probabilities</t>
  </si>
  <si>
    <t>132kV/HV peaking probabilities</t>
  </si>
  <si>
    <t>HV peaking probabilities</t>
  </si>
  <si>
    <t>HV/LV peaking probabilities</t>
  </si>
  <si>
    <t>LV circuits peaking probabilities</t>
  </si>
  <si>
    <t>Inverse of hours in timeband</t>
  </si>
  <si>
    <t>1 / hours</t>
  </si>
  <si>
    <t>This sheet calculates load at system peak based on chargeable load.</t>
  </si>
  <si>
    <t>This is used to calculate notional asset values used in the allocation of other operating costs in the 'Unit costs' tab.</t>
  </si>
  <si>
    <t>Chargeable volumes are made up of three components:</t>
  </si>
  <si>
    <t>1. Load charged to unit rates</t>
  </si>
  <si>
    <t>2.  Import and exceeded capacity charged to capacity charges.</t>
  </si>
  <si>
    <t>3. Estimated maximum load (i.e. capacity) used to calculate fixed charges.</t>
  </si>
  <si>
    <t>Common inputs for chargeable load calculations</t>
  </si>
  <si>
    <t>This section brings in common inputs used for the three elements of chargeable load</t>
  </si>
  <si>
    <t>User loss factor</t>
  </si>
  <si>
    <t>Paragraph 61 (b)</t>
  </si>
  <si>
    <t>Network loss factor</t>
  </si>
  <si>
    <t>Discounted volumes (MWh)</t>
  </si>
  <si>
    <t>Paragraph 61 (a)</t>
  </si>
  <si>
    <t>Total discounted MWh</t>
  </si>
  <si>
    <t xml:space="preserve">Paragraph 61 (c) </t>
  </si>
  <si>
    <t>Load at system peak charged to unit rates</t>
  </si>
  <si>
    <t>This section calculates the system peak load based on load charged to unit rates</t>
  </si>
  <si>
    <t>Pseudo load coefficient, unit rate 1</t>
  </si>
  <si>
    <t>System peak load, based on unit rate 1 MWh</t>
  </si>
  <si>
    <t>This is the load charged to unit rate 1, before application of standing charge factors</t>
  </si>
  <si>
    <t>Pseudo load coefficient, unit rate 2</t>
  </si>
  <si>
    <t>System peak load, based on unit rate 2 MWh</t>
  </si>
  <si>
    <t>This is the load charged to unit rate 2, before application of standing charge factors</t>
  </si>
  <si>
    <t>Pseudo load coefficient, unit rate 3</t>
  </si>
  <si>
    <t>System peak load, based on unit rate 3 MWh</t>
  </si>
  <si>
    <t>This is the load charged to unit rate 3, before application of standing charge factors</t>
  </si>
  <si>
    <t>System peak load, all unit rates, by customer category</t>
  </si>
  <si>
    <t>This is the load charged to unit rates, before application of standing charge factors</t>
  </si>
  <si>
    <t>System peak load, all unit rates, total</t>
  </si>
  <si>
    <t>This step sums system peak load by network level in kW, which is an input to the EDCM model</t>
  </si>
  <si>
    <t>kW</t>
  </si>
  <si>
    <t>Unit rate contributions to chargeable peak load</t>
  </si>
  <si>
    <t>This is the load charged to unit rates (adjusted for standing charge factors)</t>
  </si>
  <si>
    <t>Load at system peak charged to standing charges</t>
  </si>
  <si>
    <t>This section calculates load subject to fixed and capacity charges</t>
  </si>
  <si>
    <t>As part of this, it also calculates the LV diversity factor in line with Paragraph 80</t>
  </si>
  <si>
    <t>This brings in import and exceeded capacity (in kVA), and converts it to MW</t>
  </si>
  <si>
    <t>Import and exceeded capacity</t>
  </si>
  <si>
    <t>Adjusted import capacities and exceeded capacity</t>
  </si>
  <si>
    <t>Recalculates LV diversity factor in line with Paragraph 80. See the User Guide for additional detail.</t>
  </si>
  <si>
    <t>Paragraph 80</t>
  </si>
  <si>
    <t>Estimated capacity (maximum load)</t>
  </si>
  <si>
    <t>Import + exceeded capacity, LV circuits</t>
  </si>
  <si>
    <t>Estimated capacity, LV circuits, excluding related MPANs</t>
  </si>
  <si>
    <t>Aggregate maximum load, LV circuits</t>
  </si>
  <si>
    <t>LV peak load</t>
  </si>
  <si>
    <t>Calculated LV diversity factor</t>
  </si>
  <si>
    <t>Cumulative diversity factor from the network model</t>
  </si>
  <si>
    <t>Network model diversity factor, with calculated LV value</t>
  </si>
  <si>
    <t>Substitutes the calculated LV diversity factor for the LV diversity factor from the network model</t>
  </si>
  <si>
    <t>System peak load based on load charged to import &amp; exceeded capacity charges</t>
  </si>
  <si>
    <t>System peak load based on load used to determine fixed charges</t>
  </si>
  <si>
    <t>System peak based on chargeable load</t>
  </si>
  <si>
    <t>This section aggregates the system peak load charged to unit rates, capacity charges, and fixed charges</t>
  </si>
  <si>
    <t>System peak load charged to unit rates, capacity charges, and fixed charges</t>
  </si>
  <si>
    <t>Sum</t>
  </si>
  <si>
    <t>This sheet calculates the notional asset value of the typical service models used by HV and LV customers</t>
  </si>
  <si>
    <t>Service model and network model notional asset values are combined on the 'Unit costs' sheet</t>
  </si>
  <si>
    <t>Service model notional asset values</t>
  </si>
  <si>
    <t>Discounted MPANs</t>
  </si>
  <si>
    <t>Discounted annual load</t>
  </si>
  <si>
    <t>Service model costs per MPAN / unit</t>
  </si>
  <si>
    <t>Presents service model costs per customer for metered customers and per MWh for unmetered customers</t>
  </si>
  <si>
    <t>LV UMS customers</t>
  </si>
  <si>
    <t>Service model notional asset value</t>
  </si>
  <si>
    <t>Converts cost per customer / MWh to £s of notional asset value</t>
  </si>
  <si>
    <t>Total service model notional asset value</t>
  </si>
  <si>
    <t>Sums across customer categories to give total service model notional asset value</t>
  </si>
  <si>
    <t>Total LV customers</t>
  </si>
  <si>
    <t>Total HV customers</t>
  </si>
  <si>
    <t>This sheet calculates unit costs used in the calculation of unit rates.</t>
  </si>
  <si>
    <t>Two types of unit costs are calculated:</t>
  </si>
  <si>
    <t>1. Cost per kW for incremental assets in the 500MW model.</t>
  </si>
  <si>
    <t>2. Cost per kW for other operating costs, based on notional asset values and estimated system peak load.</t>
  </si>
  <si>
    <t>This sheet covers areas in Schedule 16 from Paragraph 57 to 66.</t>
  </si>
  <si>
    <t>500MW model costs</t>
  </si>
  <si>
    <t>This section calculates the incremental asset cost, per kW, based on the 500MW distribution reinforcement model</t>
  </si>
  <si>
    <t>Calculates the annuity rate to be applied to asset costs</t>
  </si>
  <si>
    <t>Annuity rate</t>
  </si>
  <si>
    <t>Brings in loss adjustment factors, and calculates the coincidence factor to for GSPs</t>
  </si>
  <si>
    <t>Loss adjustment factor to transmission for each DRM level</t>
  </si>
  <si>
    <t>no.</t>
  </si>
  <si>
    <t>Diversity allowance between top and bottom network level</t>
  </si>
  <si>
    <t>Coincidence to system peak</t>
  </si>
  <si>
    <t>Calculates additional simultaneous load at each network level from an increment of 500MW at GSP</t>
  </si>
  <si>
    <t>Exit load at system peak, assuming single stage transformation at each network level</t>
  </si>
  <si>
    <t>Paragraph 60</t>
  </si>
  <si>
    <t>Adjusts load going through 132/EHV transformation for networks also containing 132/HV transformation</t>
  </si>
  <si>
    <t>Rerouting for DRM network levels</t>
  </si>
  <si>
    <t>GSP simultaneous maximum load assumed through each network level</t>
  </si>
  <si>
    <t>Calculates the annuitised asset cost per kW of simultaneous load from the 500MW model</t>
  </si>
  <si>
    <t>Gross assets</t>
  </si>
  <si>
    <t>Network level assets per kW (simultaneous peak)</t>
  </si>
  <si>
    <t>£/kW</t>
  </si>
  <si>
    <t>Network level assets per kW (simultaneous peak) per year</t>
  </si>
  <si>
    <t>£/kW/year</t>
  </si>
  <si>
    <t>Paragraph 59</t>
  </si>
  <si>
    <t>Allocation of other costs</t>
  </si>
  <si>
    <t>This section allocates operating costs based on notional asset value (£) by network level, then divides this by load on each network level at time of system peak</t>
  </si>
  <si>
    <t>Estimated load at system peak</t>
  </si>
  <si>
    <t>Adjustment for transmission exit level</t>
  </si>
  <si>
    <t>Calculates the notional asset value, and its relative shares, by network level</t>
  </si>
  <si>
    <t>Notional asset value (network model)</t>
  </si>
  <si>
    <t>Notional asset value (service model)</t>
  </si>
  <si>
    <t>Total notional asset value</t>
  </si>
  <si>
    <t>Paragraph 63</t>
  </si>
  <si>
    <t>Share of total notional asset value</t>
  </si>
  <si>
    <t>Calculates other operating costs to be allocated to charges</t>
  </si>
  <si>
    <t>Other operating costs for allocation</t>
  </si>
  <si>
    <t>Calculates operating costs per kW for unit rates, based on share of notional asset values by network level.</t>
  </si>
  <si>
    <t>Costs allocated to service model users are ignored here as they form part of fixed/capacity charges</t>
  </si>
  <si>
    <t>Other operating costs (allocated)</t>
  </si>
  <si>
    <t>Paragraph 65</t>
  </si>
  <si>
    <t>Other operating costs (excl. service models)</t>
  </si>
  <si>
    <t>£/kW/ year</t>
  </si>
  <si>
    <t>Paragraph 66</t>
  </si>
  <si>
    <t>Outputs</t>
  </si>
  <si>
    <t>Exported to 'Output to other models'!</t>
  </si>
  <si>
    <t>Exported to 'Initial unit rates'!</t>
  </si>
  <si>
    <t>Exported to 'Service model charges'!</t>
  </si>
  <si>
    <t>Check for DRM assets with zero load (and vice versa)</t>
  </si>
  <si>
    <t>This sheet calculates yardstick charges and unit rates 1, 2 and 3 (before application of standing charge factors).</t>
  </si>
  <si>
    <t>Inputs for yardstick and unit rate calculations</t>
  </si>
  <si>
    <t>This section brings in inputs for calculating unit rates</t>
  </si>
  <si>
    <t>Network level assets per kW per year</t>
  </si>
  <si>
    <t>Paragraph 67</t>
  </si>
  <si>
    <t>Other operating costs (excl. service models) per kW per year</t>
  </si>
  <si>
    <t>Loss adjustment factors,  by network level</t>
  </si>
  <si>
    <t>Loss adjustment factor to transmission for each core level</t>
  </si>
  <si>
    <t>Calculation of yardstick &amp; unit rate charges</t>
  </si>
  <si>
    <t>Calculates yardstick charges using formulae in Paragraphs 68 &amp; 71, except using the load coefficient</t>
  </si>
  <si>
    <t>Asset costs</t>
  </si>
  <si>
    <t>Other operating costs</t>
  </si>
  <si>
    <t>Calculates unit rate 1 value using formulae in Paragraphs 68 &amp; 71</t>
  </si>
  <si>
    <t>As explained in the User Guide, there is a deviation from the legal text for generation</t>
  </si>
  <si>
    <t>Paragraphs 68 &amp; 71</t>
  </si>
  <si>
    <t>Calculates unit rate 2 value using formulae in Paragraph 68 &amp; 71</t>
  </si>
  <si>
    <t>Calculates unit rate 3 value using formulae in Paragraph 68 &amp; 71</t>
  </si>
  <si>
    <t>As explained in the User Guide, there is a deviation from the current legal text for generation</t>
  </si>
  <si>
    <t>Other checks</t>
  </si>
  <si>
    <t>Non-zero tariff check</t>
  </si>
  <si>
    <t>Check summary</t>
  </si>
  <si>
    <t>This sheet calculates costs allocated to service models.</t>
  </si>
  <si>
    <t>Costs allocated to service models are attributed to either fixed charges, or to unit charges (in the case</t>
  </si>
  <si>
    <t>of UMS customers).</t>
  </si>
  <si>
    <t>Inputs to service model charge calculation</t>
  </si>
  <si>
    <t>Brings in inputs used in allocation of costs to service models.</t>
  </si>
  <si>
    <t>Notional asset value</t>
  </si>
  <si>
    <t>Service model asset values</t>
  </si>
  <si>
    <t>This table pulls in service model costs per customer (or per MWh for UMS)</t>
  </si>
  <si>
    <t>Allocation of service model costs</t>
  </si>
  <si>
    <t>This section allocates other operating costs to service model customers</t>
  </si>
  <si>
    <t>Other operating expenditure per £ of notional asset value</t>
  </si>
  <si>
    <t>Paragraphs 66, 85 &amp; 86</t>
  </si>
  <si>
    <t>LV and HV added to fixed charges in 'Fixed charges' tab. For UMS, added to unit rates in 'Unit rate charges' tab.</t>
  </si>
  <si>
    <t>Operating expenditure for customer assets</t>
  </si>
  <si>
    <t>Paragraphs 66 &amp; 85</t>
  </si>
  <si>
    <t xml:space="preserve">This sheet adjusts unit rates 1, 2 and 3 to account for costs that will be recovered through fixed </t>
  </si>
  <si>
    <t xml:space="preserve">or capacity charges instead. This is done by multiplying unit rates by (1 - [standing charge factors]). </t>
  </si>
  <si>
    <t xml:space="preserve">Where these factors are greater than zero, unit charges are reduced; where they are equal </t>
  </si>
  <si>
    <t>to one, unit charges will be zero.</t>
  </si>
  <si>
    <t>Unit rates 1, 2 and 3, are summarised at the bottom. These are scaled later in the model for revenue matching.</t>
  </si>
  <si>
    <t>Inputs to unit rate charge calculations</t>
  </si>
  <si>
    <t>Brings in inputs used in the application of standing charges to unit rates</t>
  </si>
  <si>
    <t>Paragraph 86</t>
  </si>
  <si>
    <t>Application of standing charges to unit rates</t>
  </si>
  <si>
    <t>Paragraph 77</t>
  </si>
  <si>
    <t>Unit rates</t>
  </si>
  <si>
    <t>Total unit rate 1</t>
  </si>
  <si>
    <t>Total unit rate 2</t>
  </si>
  <si>
    <t>Total unit rate 3</t>
  </si>
  <si>
    <t>This sheet calculates reactive power charges (p/kVArh) in line with Paragraph 87-88.</t>
  </si>
  <si>
    <t xml:space="preserve">Reactive charges are based on yardstick charges. For generation, yardstick charges are </t>
  </si>
  <si>
    <t>re-calculated to account for a contribution at the network level they are connected (para 88).</t>
  </si>
  <si>
    <t>Inputs to reactive power charge calculations</t>
  </si>
  <si>
    <t>Bring in inputs required to calculate reactive power charges</t>
  </si>
  <si>
    <t xml:space="preserve">This table transposes 'Average kVAr by kVA, by network level' from DNO inputs. </t>
  </si>
  <si>
    <t>kVAr/ kVA</t>
  </si>
  <si>
    <t>Network level assets per kW of system simultaneous peak load per year</t>
  </si>
  <si>
    <t>Other operating costs (excl. service models) per kW of system simultaneous peak load per year</t>
  </si>
  <si>
    <t>Flag for applicability of reactive charges</t>
  </si>
  <si>
    <t>This flag is used to filter out customers that do not receive reactive power charges</t>
  </si>
  <si>
    <t>Reactive power charge flag</t>
  </si>
  <si>
    <t>0 or 1</t>
  </si>
  <si>
    <t>Paragraphs 146 &amp; 88</t>
  </si>
  <si>
    <t>Calculation of yardstick charges for generation</t>
  </si>
  <si>
    <t xml:space="preserve">Recalculates yardstick charge for generation assuming a full contribution at the network level in which they are </t>
  </si>
  <si>
    <t>connected, and all levels above that</t>
  </si>
  <si>
    <t>Paragraphs 87 (a)</t>
  </si>
  <si>
    <t>Calculation of reactive power charges</t>
  </si>
  <si>
    <t>Calculates reactive power charges for demand and generation</t>
  </si>
  <si>
    <t>Average kVAr by kVA at transmission exit is assumed equal to kVAr by kVA at the GSP, as per Paragraph 51</t>
  </si>
  <si>
    <t>Paragraph 51</t>
  </si>
  <si>
    <t>Paragraphs 146, 87 &amp; 88</t>
  </si>
  <si>
    <t>Reactive charge</t>
  </si>
  <si>
    <t>For demand users (other than UMS), this sheet allocates unit rates to capacity charge elements</t>
  </si>
  <si>
    <t xml:space="preserve">(p/kVA/day) in line with Paragraph 78. </t>
  </si>
  <si>
    <t xml:space="preserve">As per DCUSA Schedule 16, Paragraphs 81 to 82, non half-hourly settled tariff forecast </t>
  </si>
  <si>
    <t>recover capacity-related costs through a fixed charge (p/MPAN/day). For these tariff forecast, the</t>
  </si>
  <si>
    <t xml:space="preserve">elements calculated here are further transformed into fixed charges on a separate sheet. </t>
  </si>
  <si>
    <t xml:space="preserve">Exceeded capacity charges (p/kVA/day) are calculated for half-hourly settled tariff forecast in accordance with </t>
  </si>
  <si>
    <t>Paragraph 81.</t>
  </si>
  <si>
    <t>Inputs to capacity charge calculations</t>
  </si>
  <si>
    <t>Network model diversity factor</t>
  </si>
  <si>
    <t>Uses re-calculated LV circuit value in line with Paragraph 80</t>
  </si>
  <si>
    <t>Customer contributions by network level</t>
  </si>
  <si>
    <t>Flag for applicability of capacity charges and exceeded capacity charges</t>
  </si>
  <si>
    <t>Paragraphs 141, 146 &amp; 81 to 84</t>
  </si>
  <si>
    <t xml:space="preserve">These flags are used to filter customers into those that receive capacity charges, exceeded </t>
  </si>
  <si>
    <t>capacity charges, and fixed charges</t>
  </si>
  <si>
    <t>Capacity charge flag</t>
  </si>
  <si>
    <t>Exceeded capacity charge flag</t>
  </si>
  <si>
    <t>Calculation of capacity charges</t>
  </si>
  <si>
    <t>Calculates capacity element of charges in line with Paragraph 78</t>
  </si>
  <si>
    <t>Paragraph 73 and 78</t>
  </si>
  <si>
    <t>Paragraph 73, 78</t>
  </si>
  <si>
    <t>Paragraphs 81 &amp; 153</t>
  </si>
  <si>
    <t>Capacity charges (and elements allocated to fixed charges)</t>
  </si>
  <si>
    <t>Exports capacity and exceeded capacity charges</t>
  </si>
  <si>
    <t>Exports capacity element of charges that is allocated to fixed charges</t>
  </si>
  <si>
    <t>Total capacity charge</t>
  </si>
  <si>
    <t>Paragraph 81</t>
  </si>
  <si>
    <t>Total exceeded capacity charge</t>
  </si>
  <si>
    <t>Paragraphs 73 &amp; 78</t>
  </si>
  <si>
    <t>Other costs</t>
  </si>
  <si>
    <t>Check that costs are not allocated to both capacity and fixed charges</t>
  </si>
  <si>
    <t>This sheet calculates fixed charges (p/MPAN/day) for non half-hourly settled demand</t>
  </si>
  <si>
    <t xml:space="preserve">users (pre-matching) in accordance with Paragraphs 82 to 86. </t>
  </si>
  <si>
    <t>The calculations transform capacity elements of the yardstick charge into a fixed charge. As</t>
  </si>
  <si>
    <t>explained in, Paragraphs 83 to 84, this calculation differs slightly by customer type.</t>
  </si>
  <si>
    <t>Inputs to fixed charge calculations</t>
  </si>
  <si>
    <t>Paragraph 73 &amp; 78</t>
  </si>
  <si>
    <t>Paragraphs 85 &amp; 86</t>
  </si>
  <si>
    <t xml:space="preserve">This table flags user categories to be summed together for the sake of setting a common fixed </t>
  </si>
  <si>
    <t>charge, as identified in Schedule 16, Paragraph 83.</t>
  </si>
  <si>
    <t>Aggregation group identified</t>
  </si>
  <si>
    <t>Paragraphs 83 &amp; 84</t>
  </si>
  <si>
    <t>Calculation of fixed charges</t>
  </si>
  <si>
    <t>pence per day</t>
  </si>
  <si>
    <t>Total MPANs by aggregation group</t>
  </si>
  <si>
    <t xml:space="preserve">This sheet adjusts unit charges for demand only, such that expected revenue to be collected </t>
  </si>
  <si>
    <t>through the CDCM matches allowed revenue determined through the company's price control.</t>
  </si>
  <si>
    <t>This is done by applying an algorithm that complies with Paragraphs 89-95.</t>
  </si>
  <si>
    <t>Pre-matching net revenue calculations</t>
  </si>
  <si>
    <t>Brings in charges, volumes and revenues</t>
  </si>
  <si>
    <t>Summary of charges before revenue matching</t>
  </si>
  <si>
    <t>Volumes (discounted)</t>
  </si>
  <si>
    <t>Capacity</t>
  </si>
  <si>
    <t>Target CDCM net revenue</t>
  </si>
  <si>
    <t xml:space="preserve">This section calculates the shortfall (or surplus) between the net revenue that would be expected </t>
  </si>
  <si>
    <t>if pre-matching charges are used, and the net revenue which the company is allowed to collect.</t>
  </si>
  <si>
    <t>Net revenue before matching</t>
  </si>
  <si>
    <t>Net revenue shortfall (or surplus)</t>
  </si>
  <si>
    <t>Paragraph 92</t>
  </si>
  <si>
    <t>Adder calculation</t>
  </si>
  <si>
    <t xml:space="preserve">This section calculates a "fixed adder" to unit rate charges for demand users that would equalise </t>
  </si>
  <si>
    <t xml:space="preserve">expected and allowed net revenue. This section includes a simple algorithm to account for </t>
  </si>
  <si>
    <t>the requirement that demand customers should not have negative unit rates.</t>
  </si>
  <si>
    <t>Adder value at which the non-negative demand charge constraint is breached</t>
  </si>
  <si>
    <t xml:space="preserve">Negative unit rates are not permitted for demand customers. This table calculates the lowest value </t>
  </si>
  <si>
    <t xml:space="preserve">a fixed adder could take before this constraint binds (for each unit rate and customer category). This is </t>
  </si>
  <si>
    <t xml:space="preserve">the negative of each pre-matching charge. </t>
  </si>
  <si>
    <t>Unit rate 1 - Adder threshold</t>
  </si>
  <si>
    <t>Unit rate 2 - Adder threshold</t>
  </si>
  <si>
    <t>Unit rate 3 - Adder threshold</t>
  </si>
  <si>
    <t>Expected units to be charged</t>
  </si>
  <si>
    <t xml:space="preserve">Calculates the effect on expected net revenue from the addition of a 1 p/kWh fixed adder to each unit </t>
  </si>
  <si>
    <t xml:space="preserve">rate charge for each customer category - driven by the units of energy each customer category is expected </t>
  </si>
  <si>
    <t>to use.</t>
  </si>
  <si>
    <t>Unit rate 1 - expected units to be charged</t>
  </si>
  <si>
    <t>Unit rate 2 - expected units to be charged</t>
  </si>
  <si>
    <t>Unit rate 3 - expected units to be charged</t>
  </si>
  <si>
    <t>Unconstrained adder solution (i.e. unit rates for demand can be negative)</t>
  </si>
  <si>
    <t>Paragraph 93</t>
  </si>
  <si>
    <t xml:space="preserve">Calculates the value of fixed adder that would equalise expected and allowed net revenue if it was </t>
  </si>
  <si>
    <t xml:space="preserve">unconstrained by the requirement that demand charges be non-negative. In some cases, the constraints </t>
  </si>
  <si>
    <t xml:space="preserve">will not bind, and this equal the constrained solution. </t>
  </si>
  <si>
    <t>Constraint-free adder solution</t>
  </si>
  <si>
    <t xml:space="preserve">This algorithm only affects the adder solution if pre-match net revenue exceeds target net revenue, in </t>
  </si>
  <si>
    <t xml:space="preserve">which case the unconstrained adder solution will be negative and the non-negative adder constraint may </t>
  </si>
  <si>
    <t xml:space="preserve">bind. If this is not the case the following steps can be ignored. </t>
  </si>
  <si>
    <t xml:space="preserve">Step 1 - Arrange all unit rate : customer category pre-match charges (and expected units to be charged) </t>
  </si>
  <si>
    <t xml:space="preserve">onto a single row. </t>
  </si>
  <si>
    <t xml:space="preserve">Unit rate_customer category (arbitrary order)&gt;&gt; </t>
  </si>
  <si>
    <t>Combined - Adder threshold</t>
  </si>
  <si>
    <t>Combined - expected units to be charged</t>
  </si>
  <si>
    <t xml:space="preserve">Step 2 - Rank the unit rate : customer category pre-match charges by their adder threshold values - from </t>
  </si>
  <si>
    <t xml:space="preserve">lowest to highest. </t>
  </si>
  <si>
    <t>Adder thresholds ranked from lowest (1) to highest (99)</t>
  </si>
  <si>
    <t>Tie-breaker between equal threshold rates</t>
  </si>
  <si>
    <t>Adder thresholds ranked from lowest (1) to highest (99), post tie-breaker</t>
  </si>
  <si>
    <t xml:space="preserve">Step 3 - Reorder adder thresholds (and their respective numbers of units to be charged) by rank. Identify </t>
  </si>
  <si>
    <t xml:space="preserve">the value at which the fixed adder would equalise expected and allowed net revenue. </t>
  </si>
  <si>
    <t>Rank&gt;&gt;</t>
  </si>
  <si>
    <t>Starting point</t>
  </si>
  <si>
    <t>Reordered adder threshold values for each tariff / unit rate (lowest to highest)</t>
  </si>
  <si>
    <t>Cumulative units, aggregating across tariff / unit rates from lowest to highest adder threshold.</t>
  </si>
  <si>
    <t>Unscaleable net revenue</t>
  </si>
  <si>
    <t>Scaleable net revenue, for a given (threshold) adder value</t>
  </si>
  <si>
    <t>Total net revenue, for a given (threshold) adder value</t>
  </si>
  <si>
    <t>Exact constrained adder value at which expected net revenue = allowed net revenue</t>
  </si>
  <si>
    <t>Constrained adder solution</t>
  </si>
  <si>
    <t>Paragraph 94</t>
  </si>
  <si>
    <t xml:space="preserve">Shows the adder value that would equalise expected and allowed net revenue, subject to the constraint </t>
  </si>
  <si>
    <t>that demand charges be non-negative. The solution is selected from the last row of the table above.</t>
  </si>
  <si>
    <t xml:space="preserve">This section presents the amount by which unit charges for demand users will be raised or lowered </t>
  </si>
  <si>
    <t xml:space="preserve">to equalise expected and allowed revenue, subject to the constraint that demand charges are non-negative. </t>
  </si>
  <si>
    <t>Adder to be applied to unit rates</t>
  </si>
  <si>
    <t>Allocates an adder to each unit rate and customer type which will equalise expected and allowed revenue,</t>
  </si>
  <si>
    <t xml:space="preserve"> subject to the constraint that demand charges be non-negative. Adders are applied for demand users only.</t>
  </si>
  <si>
    <t>Adder on Unit rate 1</t>
  </si>
  <si>
    <t>Adder on Unit rate 2</t>
  </si>
  <si>
    <t>Adder on Unit rate 3</t>
  </si>
  <si>
    <t xml:space="preserve">Check that adder constraint is compatible with revenue matching </t>
  </si>
  <si>
    <t>Total revenue check</t>
  </si>
  <si>
    <t>Summary of error checks</t>
  </si>
  <si>
    <t>This sheet rounds charges to the number of decimal places specified in Paragraph 14.</t>
  </si>
  <si>
    <t>These include 'all the way' tariff forecast and LDNO tariff forecast.</t>
  </si>
  <si>
    <t>Inputs</t>
  </si>
  <si>
    <t>Pulls in tariff forecast, adder and inputs for the number of decimal places</t>
  </si>
  <si>
    <t>Pre-match, pre-rounding tariff forecast</t>
  </si>
  <si>
    <t>Tariff forecast before revenue matching</t>
  </si>
  <si>
    <t>Adder calculated in revenue matching</t>
  </si>
  <si>
    <t>LDNO discounts (LV)</t>
  </si>
  <si>
    <t>LDNO discounts (HV)</t>
  </si>
  <si>
    <t>Decimal places for rounding</t>
  </si>
  <si>
    <t>Rounding of tariff forecast</t>
  </si>
  <si>
    <t>Calculates rounded tariff forecast</t>
  </si>
  <si>
    <t>All the way tariff forecast, pre-rounding</t>
  </si>
  <si>
    <t>All the way tariff forecast, post-rounding</t>
  </si>
  <si>
    <t>LDNO LV tariff forecast, post-rounding</t>
  </si>
  <si>
    <t>LDNO HV tariff forecast, post-rounding</t>
  </si>
  <si>
    <t>This sheet calculates a summary of net revenue and other non-tariff outputs included for users' information</t>
  </si>
  <si>
    <t>Inputs to net revenue summary calculation</t>
  </si>
  <si>
    <t>All the way tariff forecast</t>
  </si>
  <si>
    <t>LDNO LV tariff forecast</t>
  </si>
  <si>
    <t>LDNO HV tariff forecast</t>
  </si>
  <si>
    <t>Net revenue before matching and rounding</t>
  </si>
  <si>
    <t>Typical bills</t>
  </si>
  <si>
    <t>All the way customer net revenue</t>
  </si>
  <si>
    <t>LDNO LV customer net revenue</t>
  </si>
  <si>
    <t>LDNO HV customer net revenue</t>
  </si>
  <si>
    <t>Pre-matching net revenue</t>
  </si>
  <si>
    <t>Net revenue from rounding</t>
  </si>
  <si>
    <t>Total net revenue</t>
  </si>
  <si>
    <t>Deviation from target revenue</t>
  </si>
  <si>
    <t>Typical bills for all the way customers</t>
  </si>
  <si>
    <t>£/MPAN</t>
  </si>
  <si>
    <t>All the way</t>
  </si>
  <si>
    <t>Typical bills for LDNO LV customers</t>
  </si>
  <si>
    <t>Typical bills for LDNO HV customers</t>
  </si>
  <si>
    <t>Average bill per kWh for all the way customers</t>
  </si>
  <si>
    <t>Average bill per kWh for LDNO LV customers</t>
  </si>
  <si>
    <t>Average bill per kWh for LDNO HV customers</t>
  </si>
  <si>
    <t>Comparison with previous year</t>
  </si>
  <si>
    <t>Previous year all the way tariff forecast</t>
  </si>
  <si>
    <t>If previous year net revenue is not entered as an input, this section estimates previous year net revenue</t>
  </si>
  <si>
    <t>by assuming volumes equal to forecasts for the current charging year.</t>
  </si>
  <si>
    <t>Previous year net revenue from all the way tariff forecast (if known)</t>
  </si>
  <si>
    <t>Previous year net revenue from all the way tariff forecast (estimated if unknown)</t>
  </si>
  <si>
    <t>% change in net revenue from preceding year - all the way customers</t>
  </si>
  <si>
    <t>Absolute change in average bill per kWh - all the way customers</t>
  </si>
  <si>
    <t>LDNO margins</t>
  </si>
  <si>
    <t>LDNO LV typical bills, using all-the-way volumes</t>
  </si>
  <si>
    <t>This table calculates the typical bills that all-the-way customers would receive if they were on LDNO LV tariff forecast</t>
  </si>
  <si>
    <t>£ / MPAN</t>
  </si>
  <si>
    <t>LDNO HV typical bills, using all-the-way volumes</t>
  </si>
  <si>
    <t>This table calculates the typical bills that all-the-way customers would receive if they were on LDNO HV tariff forecast</t>
  </si>
  <si>
    <t>This table expresses the difference between LDNO and all the way charges as a proportion of the typical bill</t>
  </si>
  <si>
    <t>LDNO LV margin</t>
  </si>
  <si>
    <t>LDNO HV margin</t>
  </si>
  <si>
    <t>Identifier</t>
  </si>
  <si>
    <t>Unit rate 1 
p/kWh</t>
  </si>
  <si>
    <t>Unit rate 2 
p/kWh</t>
  </si>
  <si>
    <t>Unit rate 3 
p/kWh</t>
  </si>
  <si>
    <t>Fixed charge 
p/MPAN/day</t>
  </si>
  <si>
    <t>Capacity charge 
p/kVA/day</t>
  </si>
  <si>
    <t>Exceeded capacity charge 
p/kVA/day</t>
  </si>
  <si>
    <t>Reactive power charge 
p/kVArh</t>
  </si>
  <si>
    <t>This sheet presents tariff forecast for 'all the way' customers and LDNO LV/HV customers</t>
  </si>
  <si>
    <t>All the way tariffs</t>
  </si>
  <si>
    <t>LDNO LV tariffs</t>
  </si>
  <si>
    <t>LDNO HV tariffs</t>
  </si>
  <si>
    <t>Collates model results used by the PCDM and EDCM</t>
  </si>
  <si>
    <t>and for DNOs' internal processes (e.g. publishing Tariff Movement Explanation reports)</t>
  </si>
  <si>
    <t>Outputs for PCDM</t>
  </si>
  <si>
    <t>These asset values are used as Input 402-C on the "DNO inputs" sheet of the PCDM</t>
  </si>
  <si>
    <t>CDCM notional EHV asset values</t>
  </si>
  <si>
    <t>Outputs for EDCM</t>
  </si>
  <si>
    <t>CDCM end user tariff forecast</t>
  </si>
  <si>
    <t>These non-tariff outputs are used as Input 202-D / 302-D on the "General inputs" sheet of the EDCM - LRIC/FCP</t>
  </si>
  <si>
    <t>Assets in CDCM model</t>
  </si>
  <si>
    <t>Outputs for users' internal use</t>
  </si>
  <si>
    <t>These non-tariff outputs are provided for DNOs' internal use - namely to populate "tariff movement explanation reports"</t>
  </si>
  <si>
    <t>These non-tariff outputs are provided for IDNOs' internal use</t>
  </si>
  <si>
    <t>They express the difference between LDNO and all the way charges as a proportion of the typical bill</t>
  </si>
  <si>
    <t>Model number</t>
  </si>
  <si>
    <t>Release for charge setting</t>
  </si>
  <si>
    <t>01 April 2020 DCUSA Charging Methodologies Pre-Release (released 09/10/2018)</t>
  </si>
  <si>
    <t>Model number:</t>
  </si>
  <si>
    <t>Updated references to legal text version, corrected issue with data validation on 'Inputs by customer type' sheet, added outdated table references to 'Output to other models' sheet for consistency with DCUSA text.</t>
  </si>
  <si>
    <t>Diversity allowance between level exit and GSP Group (Table 2611)</t>
  </si>
  <si>
    <t>System simultaneous maximum load (Table 2506)</t>
  </si>
  <si>
    <t>"Latest forecast of CDCM Revenue" is the only row used as an input to the model itself</t>
  </si>
  <si>
    <t>Domestic Aggregated</t>
  </si>
  <si>
    <t>Non-Domestic Aggregated</t>
  </si>
  <si>
    <t>Domestic Aggregated (Related MPAN)</t>
  </si>
  <si>
    <t>Non-Domestic Aggregated (Related MPAN)</t>
  </si>
  <si>
    <t>LV Generation Aggregated</t>
  </si>
  <si>
    <t>LV Sub Generation Aggregated</t>
  </si>
  <si>
    <t>LV Generation Site Specific</t>
  </si>
  <si>
    <t>LV Sub Generation Site Specific</t>
  </si>
  <si>
    <t>HV Generation Site Specific</t>
  </si>
  <si>
    <t>LV Site Specific</t>
  </si>
  <si>
    <t>LV Sub Site Specific</t>
  </si>
  <si>
    <t>HV Site Specific</t>
  </si>
  <si>
    <t>Unmetered Supplies</t>
  </si>
  <si>
    <t>HV Generation Site Specific no RP Charge</t>
  </si>
  <si>
    <t>LV Sub Generation Site Specific no RP Charge</t>
  </si>
  <si>
    <t>LV Generation Site Specific no RP Charge</t>
  </si>
  <si>
    <t>Unit rate 1 p/kWh_Domestic Aggregated</t>
  </si>
  <si>
    <t>Unit rate 1 p/kWh_Domestic Aggregated (Related MPAN)</t>
  </si>
  <si>
    <t>Unit rate 1 p/kWh_Non-Domestic Aggregated</t>
  </si>
  <si>
    <t>Unit rate 1 p/kWh_Non-Domestic Aggregated (Related MPAN)</t>
  </si>
  <si>
    <t>Unit rate 1 p/kWh_LV Site Specific</t>
  </si>
  <si>
    <t>Unit rate 1 p/kWh_LV Sub Site Specific</t>
  </si>
  <si>
    <t>Unit rate 1 p/kWh_HV Site Specific</t>
  </si>
  <si>
    <t>Unit rate 1 p/kWh_Unmetered Supplies</t>
  </si>
  <si>
    <t>Unit rate 1 p/kWh_LV Generation Aggregated</t>
  </si>
  <si>
    <t>Unit rate 1 p/kWh_LV Sub Generation Aggregated</t>
  </si>
  <si>
    <t>Unit rate 1 p/kWh_LV Generation Site Specific</t>
  </si>
  <si>
    <t>Unit rate 1 p/kWh_LV Generation Site Specific no RP Charge</t>
  </si>
  <si>
    <t>Unit rate 1 p/kWh_LV Sub Generation Site Specific</t>
  </si>
  <si>
    <t>Unit rate 1 p/kWh_LV Sub Generation Site Specific no RP Charge</t>
  </si>
  <si>
    <t>Unit rate 1 p/kWh_HV Generation Site Specific</t>
  </si>
  <si>
    <t>Unit rate 1 p/kWh_HV Generation Site Specific no RP Charge</t>
  </si>
  <si>
    <t>Unit rate 2 p/kWh_Domestic Aggregated</t>
  </si>
  <si>
    <t>Unit rate 2 p/kWh_Domestic Aggregated (Related MPAN)</t>
  </si>
  <si>
    <t>Unit rate 2 p/kWh_Non-Domestic Aggregated</t>
  </si>
  <si>
    <t>Unit rate 2 p/kWh_Non-Domestic Aggregated (Related MPAN)</t>
  </si>
  <si>
    <t>Unit rate 2 p/kWh_LV Site Specific</t>
  </si>
  <si>
    <t>Unit rate 2 p/kWh_LV Sub Site Specific</t>
  </si>
  <si>
    <t>Unit rate 2 p/kWh_HV Site Specific</t>
  </si>
  <si>
    <t>Unit rate 2 p/kWh_Unmetered Supplies</t>
  </si>
  <si>
    <t>Unit rate 2 p/kWh_LV Generation Aggregated</t>
  </si>
  <si>
    <t>Unit rate 2 p/kWh_LV Sub Generation Aggregated</t>
  </si>
  <si>
    <t>Unit rate 2 p/kWh_LV Generation Site Specific</t>
  </si>
  <si>
    <t>Unit rate 2 p/kWh_LV Generation Site Specific no RP Charge</t>
  </si>
  <si>
    <t>Unit rate 2 p/kWh_LV Sub Generation Site Specific</t>
  </si>
  <si>
    <t>Unit rate 2 p/kWh_LV Sub Generation Site Specific no RP Charge</t>
  </si>
  <si>
    <t>Unit rate 2 p/kWh_HV Generation Site Specific</t>
  </si>
  <si>
    <t>Unit rate 2 p/kWh_HV Generation Site Specific no RP Charge</t>
  </si>
  <si>
    <t>Unit rate 3 p/kWh_Domestic Aggregated</t>
  </si>
  <si>
    <t>Unit rate 3 p/kWh_Domestic Aggregated (Related MPAN)</t>
  </si>
  <si>
    <t>Unit rate 3 p/kWh_Non-Domestic Aggregated</t>
  </si>
  <si>
    <t>Unit rate 3 p/kWh_Non-Domestic Aggregated (Related MPAN)</t>
  </si>
  <si>
    <t>Unit rate 3 p/kWh_LV Site Specific</t>
  </si>
  <si>
    <t>Unit rate 3 p/kWh_LV Sub Site Specific</t>
  </si>
  <si>
    <t>Unit rate 3 p/kWh_HV Site Specific</t>
  </si>
  <si>
    <t>Unit rate 3 p/kWh_Unmetered Supplies</t>
  </si>
  <si>
    <t>Unit rate 3 p/kWh_LV Generation Aggregated</t>
  </si>
  <si>
    <t>Unit rate 3 p/kWh_LV Sub Generation Aggregated</t>
  </si>
  <si>
    <t>Unit rate 3 p/kWh_LV Generation Site Specific</t>
  </si>
  <si>
    <t>Unit rate 3 p/kWh_LV Generation Site Specific no RP Charge</t>
  </si>
  <si>
    <t>Unit rate 3 p/kWh_LV Sub Generation Site Specific</t>
  </si>
  <si>
    <t>Unit rate 3 p/kWh_LV Sub Generation Site Specific no RP Charge</t>
  </si>
  <si>
    <t>Unit rate 3 p/kWh_HV Generation Site Specific</t>
  </si>
  <si>
    <t>Unit rate 3 p/kWh_HV Generation Site Specific no RP Charge</t>
  </si>
  <si>
    <t>Step 4: Results of Step 3</t>
  </si>
  <si>
    <t>Groupings for aggregated pseudo-load coefficients</t>
  </si>
  <si>
    <t>Sets out the groups that are equalised for unit rates, as set out in Paragraph 70 c) iv</t>
  </si>
  <si>
    <t>Pseudo-load coefficient aggregation group</t>
  </si>
  <si>
    <t>Split of total units by timeband for aggregate groups</t>
  </si>
  <si>
    <t>Final split of total units by timeband</t>
  </si>
  <si>
    <t>Calculation of maximum load</t>
  </si>
  <si>
    <t>Average load</t>
  </si>
  <si>
    <t>System peak load</t>
  </si>
  <si>
    <t>Load and coincidence factor for aggregate groups</t>
  </si>
  <si>
    <t xml:space="preserve">Final load and coincidence factor </t>
  </si>
  <si>
    <t>Load coefficient, adjusted for aggregate groups</t>
  </si>
  <si>
    <t>Unless stated otherwise, this workbook is only a prototype for testing purposes and all the data in this model are for illustration only. Neither the authors nor Cambridge Economic Policy Associates/TNEI accept or assume any responsibility or duty of care to any third party.</t>
  </si>
  <si>
    <t>DCP 268 Draft Legal Text v2.0 (shared 10/06/2019)</t>
  </si>
  <si>
    <t>Implemented DCP268 as per service 1 request (received 10/06/2019): replaced 33 existing tariffs with 16 enduring tariffs, modified structure of fixed inputs and inputs by customer type, modified pseudo-load coefficient calculation, modified revenue matching calculation.</t>
  </si>
  <si>
    <t>Paragraph 70 c) iv</t>
  </si>
  <si>
    <t>Paragraphs 52A &amp; 70 (c) iv</t>
  </si>
  <si>
    <t>This section first calculates the split of MWh by unit rate, aggregating "related MPAN" and "Aggregated" tariffs.</t>
  </si>
  <si>
    <t>Paragraphs 52A &amp; 70 (c) i</t>
  </si>
  <si>
    <t xml:space="preserve">Sets the proportion of costs to be recovered through fixed and capacity charge components. </t>
  </si>
  <si>
    <t>This sheet calculates the pseudo load coefficients used in the calculation of unit rates and system simultaneous peak demand.</t>
  </si>
  <si>
    <t>This section combines the load coefficient, and pseudo load coefficients</t>
  </si>
  <si>
    <t>This sheet calculates the fixed charge adders for recovering revenue associated with Supplier of Last Resort and Bad Debt</t>
  </si>
  <si>
    <t>costs.</t>
  </si>
  <si>
    <t>Fixed tariff adjustments</t>
  </si>
  <si>
    <t>Tariff adjustments for fixed adders to account for Supplier of Last Resort and Eligible Bad Debt costs</t>
  </si>
  <si>
    <t>All-the-way MPANs, plus LDNO-connected MPANs from designated properties</t>
  </si>
  <si>
    <t>LDNO designated customers from EDCM</t>
  </si>
  <si>
    <t>Map of applicable MPANs</t>
  </si>
  <si>
    <t>Pass-through Supplier of Last Resort Adjustment</t>
  </si>
  <si>
    <t>Pass-through Eligible Bad Debt Adjustment</t>
  </si>
  <si>
    <t>Pass-through costs not allocated through revenue matching</t>
  </si>
  <si>
    <t>MPANs to be charged for allocated pass-through costs</t>
  </si>
  <si>
    <t>Adder to fixed charge for allocated pass-through costs</t>
  </si>
  <si>
    <t>Adder to fixed charge for allocated pass-through costs, mapped to tariffs</t>
  </si>
  <si>
    <t>Revenue from fixed charge adder, by CDCM tariff</t>
  </si>
  <si>
    <t>Revenue from fixed charge adder, CDCM total</t>
  </si>
  <si>
    <t>Revenue from fixed charge adder, by EDCM tariff</t>
  </si>
  <si>
    <t>Revenue from fixed charge adder, EDCM total</t>
  </si>
  <si>
    <t>Revenue from fixed charge adder, by tariff</t>
  </si>
  <si>
    <t>Revenue from fixed charge adder, total</t>
  </si>
  <si>
    <t>Revenue from fixed adder equals allocated costs</t>
  </si>
  <si>
    <t>Fixed charge adder</t>
  </si>
  <si>
    <t>Section 118</t>
  </si>
  <si>
    <t>'Designated Property' MPANs with EDCM-level LDNO boundaries</t>
  </si>
  <si>
    <t>Target CDCM net revenue, less applicable pass-through costs</t>
  </si>
  <si>
    <t>Adder to be applied to fixed charge</t>
  </si>
  <si>
    <t>Adder calculated in allocated costs</t>
  </si>
  <si>
    <t>All the way tariff forecast, post-adders &amp; discounting</t>
  </si>
  <si>
    <t>LDNO LV tariff forecast, post-adders &amp; discounting</t>
  </si>
  <si>
    <t>LDNO HV tariff forecast, post-adders &amp; discounting</t>
  </si>
  <si>
    <t>Net revenue from unit rate adder</t>
  </si>
  <si>
    <t>Net revenue from fixed rate adder, CDCM</t>
  </si>
  <si>
    <t>Net revenue from fixed rate adder, EDCM</t>
  </si>
  <si>
    <t>Fixed charge adders</t>
  </si>
  <si>
    <t>2021/22</t>
  </si>
  <si>
    <t>Expected revenue from unit rate adder, by tariff (pre-rounding)</t>
  </si>
  <si>
    <t>Total expected revenue from unit rate adder, post scaling (pre-rounding)</t>
  </si>
  <si>
    <t>Release for 2021/22 charge setting</t>
  </si>
  <si>
    <t>Updated references to legal text version, and implemented DCP332 and DCP333, assuming implementation of DCP 356 (as described in the user guide).</t>
  </si>
  <si>
    <t>Paragraphs 101 and 103</t>
  </si>
  <si>
    <t>Paragraph 90A</t>
  </si>
  <si>
    <t>Paragraphs 98 to 100</t>
  </si>
  <si>
    <t>This forecast of fixed charge adders is used as Input 207-B / 307-B on the "LDNO inputs" sheet of the EDCM - LRIC/FCP</t>
  </si>
  <si>
    <t>This forecast of end-user tariffs is used as Input 207-A / 307-A and Input 207-B / 307-B on the "LDNO inputs" sheet of the EDCM - LRIC/FCP</t>
  </si>
  <si>
    <t>Paragraph 83</t>
  </si>
  <si>
    <t>Paragraph 64</t>
  </si>
  <si>
    <t>Attachment A_01 April 2021 Charging Methodologies Pre-Release_Issued October 2019 (shared 10/10/2019)</t>
  </si>
  <si>
    <t>Paragraphs 53A, 53B, 101 and 102</t>
  </si>
  <si>
    <t>Paragraphs 101 and 102</t>
  </si>
  <si>
    <t>LV Site Specific Storage Import</t>
  </si>
  <si>
    <t>LV Sub Site Specific Storage Import</t>
  </si>
  <si>
    <t>HV Site Specific Storage Import</t>
  </si>
  <si>
    <t>01 April 2021 Charging Methodologies Pre-Release – December 2019 (Schedules 15-16-17-18-20-29) (DCPs 268-332-333-341-342-356) (shared 19/12/2019)</t>
  </si>
  <si>
    <t>Updated references to legal text version, and implemented DCP341 and DCP 356.</t>
  </si>
  <si>
    <t xml:space="preserve">Load factors match for storage customers </t>
  </si>
  <si>
    <t>LV HH Metered</t>
  </si>
  <si>
    <t>LV Sub HH Metered</t>
  </si>
  <si>
    <t>HV HH Metered</t>
  </si>
  <si>
    <t xml:space="preserve">Coincidence factors match for storage customers </t>
  </si>
  <si>
    <t xml:space="preserve">Service model assets match for storage customers </t>
  </si>
  <si>
    <t>Unit rate 1 p/kWh_LV Site Specific Storage Import</t>
  </si>
  <si>
    <t>Unit rate 1 p/kWh_LV Sub Site Specific Storage Import</t>
  </si>
  <si>
    <t>Unit rate 1 p/kWh_HV Site Specific Storage Import</t>
  </si>
  <si>
    <t>Unit rate 2 p/kWh_LV Site Specific Storage Import</t>
  </si>
  <si>
    <t>Unit rate 2 p/kWh_LV Sub Site Specific Storage Import</t>
  </si>
  <si>
    <t>Unit rate 2 p/kWh_HV Site Specific Storage Import</t>
  </si>
  <si>
    <t>Unit rate 3 p/kWh_LV Site Specific Storage Import</t>
  </si>
  <si>
    <t>Unit rate 3 p/kWh_LV Sub Site Specific Storage Import</t>
  </si>
  <si>
    <t>Unit rate 3 p/kWh_HV Site Specific Storage Import</t>
  </si>
  <si>
    <t>Two</t>
  </si>
  <si>
    <t>DCP341</t>
  </si>
  <si>
    <t>SP Distribution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</si>
</sst>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164" formatCode="_(&quot;£&quot;* #,##0_);_(&quot;£&quot;* \(#,##0\);_(&quot;£&quot;* &quot;-&quot;_);_(@_)"/>
    <numFmt numFmtId="165" formatCode="_(* #,##0_);_(* \(#,##0\);_(* &quot;-&quot;_);_(@_)"/>
    <numFmt numFmtId="166" formatCode="_(&quot;£&quot;* #,##0.00_);_(&quot;£&quot;* \(#,##0.00\);_(&quot;£&quot;* &quot;-&quot;??_);_(@_)"/>
    <numFmt numFmtId="167" formatCode="_(* #,##0.00_);_(* \(#,##0.00\);_(* &quot;-&quot;??_);_(@_)"/>
    <numFmt numFmtId="168" formatCode="0.000;\-0.000;;@"/>
    <numFmt numFmtId="169" formatCode="0.0%"/>
    <numFmt numFmtId="170" formatCode="[$-F800]dddd\,\ mmmm\ dd\,\ yyyy"/>
    <numFmt numFmtId="171" formatCode="0.000;\-0.000;\-;@"/>
    <numFmt numFmtId="172" formatCode="0.00;\-0.00;\-;@"/>
    <numFmt numFmtId="173" formatCode="0.00000000"/>
    <numFmt numFmtId="174" formatCode="0;\-0;\-;@"/>
    <numFmt numFmtId="175" formatCode="#,##0.00;\-#,##0.00;\-"/>
    <numFmt numFmtId="176" formatCode="#,##0.000;\-#,##0.000;\-"/>
    <numFmt numFmtId="177" formatCode="#,##0;\-#,##0;\-"/>
    <numFmt numFmtId="178" formatCode="0.000"/>
    <numFmt numFmtId="179" formatCode="#,##0.00_ ;\-#,##0.00\ "/>
    <numFmt numFmtId="180" formatCode="#,##0_ ;\-#,##0\ "/>
  </numFmts>
  <fonts count="40" x14ac:knownFonts="1">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1"/>
      <color rgb="FF275792"/>
      <name val="Calibri"/>
      <family val="2"/>
      <scheme val="minor"/>
    </font>
    <font>
      <i/>
      <sz val="11"/>
      <color theme="1"/>
      <name val="Calibri"/>
      <family val="2"/>
      <scheme val="minor"/>
    </font>
    <font>
      <sz val="11"/>
      <color rgb="FFD46112"/>
      <name val="Calibri"/>
      <family val="2"/>
      <scheme val="minor"/>
    </font>
    <font>
      <sz val="11"/>
      <color theme="1"/>
      <name val="Calibri"/>
      <family val="2"/>
      <scheme val="minor"/>
    </font>
    <font>
      <sz val="1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b/>
      <sz val="11"/>
      <name val="Calibri"/>
      <family val="2"/>
      <scheme val="minor"/>
    </font>
    <font>
      <b/>
      <i/>
      <sz val="11"/>
      <color theme="1"/>
      <name val="Calibri"/>
      <family val="2"/>
      <scheme val="minor"/>
    </font>
    <font>
      <b/>
      <sz val="22"/>
      <color rgb="FF275192"/>
      <name val="Calibri"/>
      <family val="2"/>
      <scheme val="minor"/>
    </font>
    <font>
      <b/>
      <sz val="16"/>
      <color rgb="FFC00000"/>
      <name val="Calibri"/>
      <family val="2"/>
      <scheme val="minor"/>
    </font>
    <font>
      <u/>
      <sz val="11"/>
      <color theme="10"/>
      <name val="Calibri"/>
      <family val="2"/>
      <scheme val="minor"/>
    </font>
    <font>
      <sz val="11"/>
      <color theme="4"/>
      <name val="Calibri"/>
      <family val="2"/>
      <scheme val="minor"/>
    </font>
    <font>
      <i/>
      <sz val="11"/>
      <color theme="0"/>
      <name val="Calibri"/>
      <family val="2"/>
      <scheme val="minor"/>
    </font>
    <font>
      <b/>
      <i/>
      <sz val="11"/>
      <color theme="0"/>
      <name val="Calibri"/>
      <family val="2"/>
      <scheme val="minor"/>
    </font>
    <font>
      <sz val="11"/>
      <color rgb="FF9C6500"/>
      <name val="Calibri"/>
      <family val="2"/>
      <scheme val="minor"/>
    </font>
    <font>
      <i/>
      <sz val="11"/>
      <color rgb="FFFF0000"/>
      <name val="Calibri"/>
      <family val="2"/>
      <scheme val="minor"/>
    </font>
    <font>
      <sz val="11"/>
      <color rgb="FF000000"/>
      <name val="Calibri"/>
      <family val="2"/>
    </font>
    <font>
      <b/>
      <u/>
      <sz val="11"/>
      <color theme="0"/>
      <name val="Calibri"/>
      <family val="2"/>
      <scheme val="minor"/>
    </font>
    <font>
      <b/>
      <sz val="11"/>
      <color theme="4"/>
      <name val="Calibri"/>
      <family val="2"/>
      <scheme val="minor"/>
    </font>
    <font>
      <u/>
      <sz val="11"/>
      <color theme="5"/>
      <name val="Calibri"/>
      <family val="2"/>
      <scheme val="minor"/>
    </font>
    <font>
      <i/>
      <sz val="11"/>
      <color rgb="FF333F4F"/>
      <name val="Calibri"/>
      <family val="2"/>
      <scheme val="minor"/>
    </font>
    <font>
      <i/>
      <sz val="11"/>
      <color theme="0" tint="-0.499984740745262"/>
      <name val="Calibri"/>
      <family val="2"/>
      <scheme val="minor"/>
    </font>
    <font>
      <u/>
      <sz val="11"/>
      <color theme="11"/>
      <name val="Calibri"/>
      <family val="2"/>
      <scheme val="minor"/>
    </font>
    <font>
      <sz val="8"/>
      <name val="Calibri"/>
      <family val="2"/>
      <scheme val="minor"/>
    </font>
  </fonts>
  <fills count="47">
    <fill>
      <patternFill patternType="none"/>
    </fill>
    <fill>
      <patternFill patternType="gray125"/>
    </fill>
    <fill>
      <patternFill patternType="solid">
        <fgColor rgb="FFFFFFCC"/>
        <bgColor indexed="64"/>
      </patternFill>
    </fill>
    <fill>
      <patternFill patternType="solid">
        <fgColor rgb="FF4B86CD"/>
        <bgColor indexed="64"/>
      </patternFill>
    </fill>
    <fill>
      <patternFill patternType="lightUp">
        <fgColor theme="0" tint="-0.499984740745262"/>
        <bgColor rgb="FFFFFFFF"/>
      </patternFill>
    </fill>
    <fill>
      <patternFill patternType="solid">
        <fgColor rgb="FF27579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B4C6E7"/>
        <bgColor indexed="64"/>
      </patternFill>
    </fill>
    <fill>
      <patternFill patternType="solid">
        <fgColor rgb="FFFF9999"/>
        <bgColor indexed="64"/>
      </patternFill>
    </fill>
    <fill>
      <patternFill patternType="solid">
        <fgColor theme="9" tint="0.79998168889431442"/>
        <bgColor indexed="64"/>
      </patternFill>
    </fill>
    <fill>
      <patternFill patternType="solid">
        <fgColor theme="6" tint="0.39997558519241921"/>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rgb="FFC9C9C9"/>
        <bgColor indexed="64"/>
      </patternFill>
    </fill>
    <fill>
      <patternFill patternType="solid">
        <fgColor rgb="FFF8CBAD"/>
        <bgColor indexed="64"/>
      </patternFill>
    </fill>
    <fill>
      <patternFill patternType="solid">
        <fgColor rgb="FFA9D08E"/>
        <bgColor indexed="64"/>
      </patternFill>
    </fill>
  </fills>
  <borders count="21">
    <border>
      <left/>
      <right/>
      <top/>
      <bottom/>
      <diagonal/>
    </border>
    <border>
      <left/>
      <right/>
      <top style="hair">
        <color auto="1"/>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999999"/>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rgb="FFFF0000"/>
      </left>
      <right style="thin">
        <color rgb="FFFF0000"/>
      </right>
      <top style="thin">
        <color rgb="FFFF0000"/>
      </top>
      <bottom style="thin">
        <color rgb="FFFF0000"/>
      </bottom>
      <diagonal/>
    </border>
    <border>
      <left/>
      <right/>
      <top/>
      <bottom style="thick">
        <color rgb="FFFFFFFF"/>
      </bottom>
      <diagonal/>
    </border>
    <border>
      <left/>
      <right/>
      <top style="thick">
        <color rgb="FFFFFFFF"/>
      </top>
      <bottom/>
      <diagonal/>
    </border>
  </borders>
  <cellStyleXfs count="68">
    <xf numFmtId="0" fontId="0" fillId="0" borderId="0"/>
    <xf numFmtId="49" fontId="1" fillId="3" borderId="0" applyNumberFormat="0" applyBorder="0" applyAlignment="0">
      <alignment horizontal="left" vertical="center" wrapText="1"/>
    </xf>
    <xf numFmtId="167" fontId="7" fillId="0" borderId="0" applyFont="0" applyFill="0" applyBorder="0" applyAlignment="0" applyProtection="0"/>
    <xf numFmtId="165"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9" fontId="7" fillId="0" borderId="0" applyFont="0" applyFill="0" applyBorder="0" applyAlignment="0" applyProtection="0"/>
    <xf numFmtId="0" fontId="9" fillId="0" borderId="0" applyNumberFormat="0" applyFill="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13" fillId="6" borderId="0" applyNumberFormat="0" applyBorder="0" applyAlignment="0" applyProtection="0"/>
    <xf numFmtId="0" fontId="14" fillId="7" borderId="0" applyNumberFormat="0" applyBorder="0" applyAlignment="0" applyProtection="0"/>
    <xf numFmtId="0" fontId="15" fillId="8" borderId="0" applyNumberFormat="0" applyBorder="0" applyAlignment="0" applyProtection="0"/>
    <xf numFmtId="0" fontId="16" fillId="9" borderId="8" applyNumberFormat="0" applyAlignment="0" applyProtection="0"/>
    <xf numFmtId="0" fontId="17" fillId="10" borderId="9" applyNumberFormat="0" applyAlignment="0" applyProtection="0"/>
    <xf numFmtId="0" fontId="18" fillId="10" borderId="8" applyNumberFormat="0" applyAlignment="0" applyProtection="0"/>
    <xf numFmtId="0" fontId="19" fillId="0" borderId="10" applyNumberFormat="0" applyFill="0" applyAlignment="0" applyProtection="0"/>
    <xf numFmtId="0" fontId="1" fillId="11" borderId="11" applyNumberFormat="0" applyAlignment="0" applyProtection="0"/>
    <xf numFmtId="0" fontId="20" fillId="0" borderId="0" applyNumberFormat="0" applyFill="0" applyBorder="0" applyAlignment="0" applyProtection="0"/>
    <xf numFmtId="0" fontId="7" fillId="12" borderId="12" applyNumberFormat="0" applyFont="0" applyAlignment="0" applyProtection="0"/>
    <xf numFmtId="0" fontId="21" fillId="0" borderId="0" applyNumberFormat="0" applyFill="0" applyBorder="0" applyAlignment="0" applyProtection="0"/>
    <xf numFmtId="0" fontId="2" fillId="0" borderId="13" applyNumberFormat="0" applyFill="0" applyAlignment="0" applyProtection="0"/>
    <xf numFmtId="0" fontId="3" fillId="13"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3" fillId="17"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3" fillId="21"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3" fillId="25"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3" fillId="29"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3" fillId="33" borderId="0" applyNumberFormat="0" applyBorder="0" applyAlignment="0" applyProtection="0"/>
    <xf numFmtId="0" fontId="7" fillId="34" borderId="0" applyNumberFormat="0" applyBorder="0" applyAlignment="0" applyProtection="0"/>
    <xf numFmtId="0" fontId="7" fillId="35" borderId="0" applyNumberFormat="0" applyBorder="0" applyAlignment="0" applyProtection="0"/>
    <xf numFmtId="0" fontId="7" fillId="36" borderId="0" applyNumberFormat="0" applyBorder="0" applyAlignment="0" applyProtection="0"/>
    <xf numFmtId="0" fontId="22" fillId="37" borderId="0" applyBorder="0" applyAlignment="0"/>
    <xf numFmtId="0" fontId="1" fillId="5" borderId="0" applyNumberFormat="0" applyBorder="0" applyAlignment="0"/>
    <xf numFmtId="0" fontId="7" fillId="0" borderId="0" applyNumberFormat="0" applyBorder="0" applyAlignment="0"/>
    <xf numFmtId="0" fontId="8" fillId="2" borderId="0" applyNumberFormat="0" applyBorder="0" applyAlignment="0">
      <protection locked="0"/>
    </xf>
    <xf numFmtId="0" fontId="35" fillId="0" borderId="14" applyNumberFormat="0" applyBorder="0" applyAlignment="0"/>
    <xf numFmtId="0" fontId="2" fillId="0" borderId="0" applyNumberFormat="0" applyBorder="0" applyAlignment="0"/>
    <xf numFmtId="0" fontId="26" fillId="0" borderId="0" applyNumberFormat="0" applyFill="0" applyBorder="0" applyAlignment="0" applyProtection="0"/>
    <xf numFmtId="168" fontId="8" fillId="4" borderId="0" applyNumberFormat="0" applyBorder="0">
      <alignment vertical="top"/>
    </xf>
    <xf numFmtId="9" fontId="34" fillId="0" borderId="0" applyNumberFormat="0" applyBorder="0"/>
    <xf numFmtId="167" fontId="7" fillId="0" borderId="0" applyFont="0" applyFill="0" applyBorder="0" applyAlignment="0" applyProtection="0"/>
    <xf numFmtId="0" fontId="36" fillId="0" borderId="0"/>
    <xf numFmtId="0" fontId="7" fillId="38" borderId="0" applyNumberFormat="0" applyBorder="0" applyAlignment="0" applyProtection="0">
      <alignment horizontal="center"/>
    </xf>
    <xf numFmtId="3" fontId="8" fillId="0" borderId="0" applyNumberFormat="0" applyBorder="0" applyAlignment="0">
      <alignment horizontal="right" vertical="top"/>
    </xf>
    <xf numFmtId="0" fontId="14" fillId="7" borderId="0" applyNumberFormat="0" applyBorder="0" applyAlignment="0" applyProtection="0"/>
    <xf numFmtId="9" fontId="7" fillId="0" borderId="0" applyFont="0" applyFill="0" applyBorder="0" applyAlignment="0" applyProtection="0"/>
    <xf numFmtId="0" fontId="30" fillId="8" borderId="0" applyNumberFormat="0" applyBorder="0" applyAlignment="0" applyProtection="0"/>
    <xf numFmtId="0" fontId="7" fillId="0" borderId="0" applyNumberFormat="0" applyFont="0" applyBorder="0" applyAlignment="0"/>
    <xf numFmtId="0" fontId="7" fillId="39" borderId="0" applyNumberFormat="0" applyFont="0" applyBorder="0" applyAlignment="0"/>
    <xf numFmtId="0" fontId="26" fillId="0" borderId="0" applyNumberFormat="0" applyFill="0" applyBorder="0" applyAlignment="0"/>
    <xf numFmtId="0" fontId="38" fillId="0" borderId="0" applyNumberFormat="0" applyFill="0" applyBorder="0" applyAlignment="0"/>
  </cellStyleXfs>
  <cellXfs count="355">
    <xf numFmtId="0" fontId="0" fillId="0" borderId="0" xfId="0"/>
    <xf numFmtId="0" fontId="1" fillId="3" borderId="0" xfId="1" applyNumberFormat="1" applyAlignment="1"/>
    <xf numFmtId="0" fontId="5" fillId="0" borderId="0" xfId="0" applyFont="1"/>
    <xf numFmtId="0" fontId="0" fillId="0" borderId="0" xfId="0" applyAlignment="1">
      <alignment vertical="top"/>
    </xf>
    <xf numFmtId="0" fontId="0" fillId="0" borderId="0" xfId="0" applyAlignment="1">
      <alignment vertical="top" wrapText="1"/>
    </xf>
    <xf numFmtId="0" fontId="29" fillId="3" borderId="0" xfId="1" applyNumberFormat="1" applyFont="1" applyAlignment="1"/>
    <xf numFmtId="0" fontId="8" fillId="0" borderId="0" xfId="0" applyFont="1"/>
    <xf numFmtId="0" fontId="25" fillId="0" borderId="0" xfId="0" applyFont="1" applyAlignment="1">
      <alignment horizontal="left" vertical="center" wrapText="1"/>
    </xf>
    <xf numFmtId="0" fontId="7" fillId="0" borderId="0" xfId="50" applyAlignment="1">
      <alignment vertical="top" wrapText="1"/>
    </xf>
    <xf numFmtId="0" fontId="0" fillId="0" borderId="0" xfId="0" applyAlignment="1">
      <alignment vertical="center"/>
    </xf>
    <xf numFmtId="170" fontId="35" fillId="0" borderId="0" xfId="52" applyNumberFormat="1" applyBorder="1" applyAlignment="1">
      <alignment horizontal="left" vertical="center"/>
    </xf>
    <xf numFmtId="0" fontId="0" fillId="0" borderId="0" xfId="0" applyAlignment="1">
      <alignment vertical="center" wrapText="1"/>
    </xf>
    <xf numFmtId="0" fontId="37" fillId="0" borderId="0" xfId="0" applyFont="1" applyAlignment="1">
      <alignment horizontal="left" indent="1"/>
    </xf>
    <xf numFmtId="0" fontId="0" fillId="0" borderId="0" xfId="0" applyAlignment="1">
      <alignment horizontal="left"/>
    </xf>
    <xf numFmtId="0" fontId="0" fillId="0" borderId="0" xfId="0" applyAlignment="1">
      <alignment horizontal="right"/>
    </xf>
    <xf numFmtId="0" fontId="0" fillId="0" borderId="0" xfId="0" applyAlignment="1">
      <alignment horizontal="left" vertical="center" wrapText="1"/>
    </xf>
    <xf numFmtId="0" fontId="24" fillId="0" borderId="0" xfId="0" applyFont="1" applyAlignment="1">
      <alignment vertical="top" wrapText="1"/>
    </xf>
    <xf numFmtId="0" fontId="0" fillId="0" borderId="0" xfId="0" applyAlignment="1">
      <alignment horizontal="left" vertical="top" wrapText="1"/>
    </xf>
    <xf numFmtId="0" fontId="23" fillId="0" borderId="0" xfId="0" applyFont="1" applyAlignment="1">
      <alignment vertical="top"/>
    </xf>
    <xf numFmtId="170" fontId="34" fillId="0" borderId="0" xfId="56" applyNumberFormat="1" applyAlignment="1">
      <alignment horizontal="left"/>
    </xf>
    <xf numFmtId="0" fontId="34" fillId="0" borderId="0" xfId="56" applyNumberFormat="1" applyAlignment="1">
      <alignment horizontal="left"/>
    </xf>
    <xf numFmtId="0" fontId="1" fillId="3" borderId="0" xfId="1" applyNumberFormat="1" applyAlignment="1">
      <alignment horizontal="left"/>
    </xf>
    <xf numFmtId="168" fontId="8" fillId="4" borderId="2" xfId="55" applyBorder="1" applyAlignment="1"/>
    <xf numFmtId="0" fontId="0" fillId="0" borderId="2" xfId="0" applyBorder="1"/>
    <xf numFmtId="0" fontId="8" fillId="0" borderId="0" xfId="60" applyNumberFormat="1" applyAlignment="1"/>
    <xf numFmtId="9" fontId="34" fillId="0" borderId="0" xfId="56"/>
    <xf numFmtId="0" fontId="35" fillId="0" borderId="0" xfId="52" applyBorder="1"/>
    <xf numFmtId="0" fontId="8" fillId="0" borderId="18" xfId="60" applyNumberFormat="1" applyBorder="1" applyAlignment="1"/>
    <xf numFmtId="0" fontId="7" fillId="0" borderId="0" xfId="50"/>
    <xf numFmtId="0" fontId="36" fillId="0" borderId="0" xfId="58"/>
    <xf numFmtId="0" fontId="1" fillId="5" borderId="0" xfId="49"/>
    <xf numFmtId="0" fontId="22" fillId="37" borderId="0" xfId="48"/>
    <xf numFmtId="0" fontId="2" fillId="0" borderId="0" xfId="53"/>
    <xf numFmtId="0" fontId="0" fillId="40" borderId="0" xfId="0" applyFill="1"/>
    <xf numFmtId="0" fontId="0" fillId="41" borderId="0" xfId="0" applyFill="1"/>
    <xf numFmtId="0" fontId="0" fillId="42" borderId="0" xfId="0" applyFill="1"/>
    <xf numFmtId="0" fontId="0" fillId="43" borderId="3" xfId="0" applyFill="1" applyBorder="1"/>
    <xf numFmtId="0" fontId="0" fillId="0" borderId="3" xfId="0" applyBorder="1"/>
    <xf numFmtId="0" fontId="27" fillId="0" borderId="0" xfId="0" applyFont="1" applyAlignment="1">
      <alignment horizontal="left"/>
    </xf>
    <xf numFmtId="0" fontId="26" fillId="0" borderId="0" xfId="54" applyAlignment="1">
      <alignment vertical="top"/>
    </xf>
    <xf numFmtId="0" fontId="8" fillId="0" borderId="0" xfId="0" applyFont="1" applyAlignment="1">
      <alignment vertical="center"/>
    </xf>
    <xf numFmtId="0" fontId="1" fillId="5" borderId="0" xfId="49" applyAlignment="1">
      <alignment vertical="center"/>
    </xf>
    <xf numFmtId="0" fontId="1" fillId="5" borderId="0" xfId="49" applyAlignment="1">
      <alignment vertical="center" wrapText="1"/>
    </xf>
    <xf numFmtId="0" fontId="8" fillId="0" borderId="0" xfId="0" applyFont="1" applyAlignment="1">
      <alignment vertical="center" wrapText="1"/>
    </xf>
    <xf numFmtId="170" fontId="6" fillId="0" borderId="0" xfId="52" applyNumberFormat="1" applyFont="1" applyBorder="1" applyAlignment="1">
      <alignment horizontal="left" vertical="center" wrapText="1"/>
    </xf>
    <xf numFmtId="0" fontId="35" fillId="0" borderId="0" xfId="52" applyBorder="1" applyAlignment="1">
      <alignment horizontal="left" vertical="center"/>
    </xf>
    <xf numFmtId="0" fontId="6" fillId="0" borderId="0" xfId="52" applyFont="1" applyBorder="1" applyAlignment="1">
      <alignment horizontal="left" vertical="center" wrapText="1"/>
    </xf>
    <xf numFmtId="0" fontId="1" fillId="3" borderId="0" xfId="1" applyNumberFormat="1" applyAlignment="1">
      <alignment vertical="center" wrapText="1"/>
    </xf>
    <xf numFmtId="0" fontId="1" fillId="3" borderId="0" xfId="1" applyNumberFormat="1" applyAlignment="1">
      <alignment vertical="center"/>
    </xf>
    <xf numFmtId="0" fontId="2" fillId="0" borderId="3" xfId="53" applyBorder="1"/>
    <xf numFmtId="0" fontId="8" fillId="0" borderId="3" xfId="0" applyFont="1" applyBorder="1"/>
    <xf numFmtId="0" fontId="34" fillId="0" borderId="0" xfId="56" applyNumberFormat="1"/>
    <xf numFmtId="3" fontId="34" fillId="0" borderId="0" xfId="56" applyNumberFormat="1"/>
    <xf numFmtId="0" fontId="8" fillId="0" borderId="4" xfId="0" applyFont="1" applyBorder="1"/>
    <xf numFmtId="0" fontId="8" fillId="0" borderId="4" xfId="60" applyNumberFormat="1" applyBorder="1" applyAlignment="1"/>
    <xf numFmtId="0" fontId="25" fillId="0" borderId="0" xfId="0" applyFont="1" applyAlignment="1">
      <alignment horizontal="left" vertical="top"/>
    </xf>
    <xf numFmtId="0" fontId="24" fillId="0" borderId="0" xfId="0" applyFont="1" applyAlignment="1">
      <alignment vertical="top"/>
    </xf>
    <xf numFmtId="0" fontId="0" fillId="0" borderId="0" xfId="0" applyAlignment="1">
      <alignment horizontal="center" vertical="center"/>
    </xf>
    <xf numFmtId="0" fontId="26" fillId="0" borderId="0" xfId="54"/>
    <xf numFmtId="49" fontId="33" fillId="3" borderId="0" xfId="1" applyFont="1" applyAlignment="1">
      <alignment horizontal="left" vertical="center"/>
    </xf>
    <xf numFmtId="49" fontId="1" fillId="3" borderId="0" xfId="1">
      <alignment horizontal="left" vertical="center" wrapText="1"/>
    </xf>
    <xf numFmtId="49" fontId="1" fillId="3" borderId="0" xfId="0" applyNumberFormat="1" applyFont="1" applyFill="1" applyAlignment="1">
      <alignment horizontal="left" vertical="center" wrapText="1"/>
    </xf>
    <xf numFmtId="49" fontId="1" fillId="3" borderId="0" xfId="0" applyNumberFormat="1" applyFont="1" applyFill="1" applyAlignment="1">
      <alignment horizontal="right" vertical="center" wrapText="1"/>
    </xf>
    <xf numFmtId="4" fontId="0" fillId="0" borderId="0" xfId="0" applyNumberFormat="1"/>
    <xf numFmtId="0" fontId="7" fillId="0" borderId="2" xfId="50" applyBorder="1"/>
    <xf numFmtId="0" fontId="8" fillId="4" borderId="2" xfId="55" applyNumberFormat="1" applyBorder="1">
      <alignment vertical="top"/>
    </xf>
    <xf numFmtId="0" fontId="8" fillId="4" borderId="0" xfId="55" applyNumberFormat="1">
      <alignment vertical="top"/>
    </xf>
    <xf numFmtId="0" fontId="7" fillId="0" borderId="3" xfId="50" applyBorder="1"/>
    <xf numFmtId="0" fontId="8" fillId="4" borderId="3" xfId="55" applyNumberFormat="1" applyBorder="1">
      <alignment vertical="top"/>
    </xf>
    <xf numFmtId="0" fontId="0" fillId="0" borderId="2" xfId="0" applyBorder="1" applyAlignment="1">
      <alignment vertical="top"/>
    </xf>
    <xf numFmtId="9" fontId="8" fillId="4" borderId="0" xfId="55" applyNumberFormat="1">
      <alignment vertical="top"/>
    </xf>
    <xf numFmtId="9" fontId="8" fillId="4" borderId="3" xfId="55" applyNumberFormat="1" applyBorder="1">
      <alignment vertical="top"/>
    </xf>
    <xf numFmtId="0" fontId="7" fillId="0" borderId="0" xfId="50" applyAlignment="1">
      <alignment horizontal="left"/>
    </xf>
    <xf numFmtId="0" fontId="8" fillId="0" borderId="2" xfId="0" applyFont="1" applyBorder="1"/>
    <xf numFmtId="0" fontId="8" fillId="0" borderId="2" xfId="60" applyNumberFormat="1" applyBorder="1" applyAlignment="1"/>
    <xf numFmtId="0" fontId="8" fillId="0" borderId="3" xfId="60" applyNumberFormat="1" applyBorder="1" applyAlignment="1"/>
    <xf numFmtId="0" fontId="0" fillId="0" borderId="3" xfId="0" applyBorder="1" applyAlignment="1">
      <alignment vertical="top"/>
    </xf>
    <xf numFmtId="4" fontId="8" fillId="4" borderId="0" xfId="55" applyNumberFormat="1">
      <alignment vertical="top"/>
    </xf>
    <xf numFmtId="0" fontId="7" fillId="0" borderId="2" xfId="50" applyBorder="1" applyAlignment="1">
      <alignment horizontal="left"/>
    </xf>
    <xf numFmtId="175" fontId="8" fillId="4" borderId="0" xfId="55" applyNumberFormat="1">
      <alignment vertical="top"/>
    </xf>
    <xf numFmtId="0" fontId="7" fillId="0" borderId="3" xfId="50" applyBorder="1" applyAlignment="1">
      <alignment horizontal="left"/>
    </xf>
    <xf numFmtId="175" fontId="8" fillId="4" borderId="3" xfId="55" applyNumberFormat="1" applyBorder="1">
      <alignment vertical="top"/>
    </xf>
    <xf numFmtId="175" fontId="0" fillId="0" borderId="3" xfId="0" applyNumberFormat="1" applyBorder="1"/>
    <xf numFmtId="175" fontId="8" fillId="4" borderId="2" xfId="55" applyNumberFormat="1" applyBorder="1">
      <alignment vertical="top"/>
    </xf>
    <xf numFmtId="9" fontId="0" fillId="0" borderId="0" xfId="0" applyNumberFormat="1"/>
    <xf numFmtId="0" fontId="0" fillId="0" borderId="2" xfId="0" applyBorder="1" applyAlignment="1">
      <alignment horizontal="left"/>
    </xf>
    <xf numFmtId="0" fontId="0" fillId="0" borderId="3" xfId="0" applyBorder="1" applyAlignment="1">
      <alignment horizontal="left"/>
    </xf>
    <xf numFmtId="0" fontId="7" fillId="0" borderId="0" xfId="50" applyAlignment="1">
      <alignment horizontal="left" wrapText="1"/>
    </xf>
    <xf numFmtId="0" fontId="2" fillId="0" borderId="0" xfId="0" applyFont="1"/>
    <xf numFmtId="175" fontId="0" fillId="0" borderId="0" xfId="0" applyNumberFormat="1"/>
    <xf numFmtId="175" fontId="22" fillId="37" borderId="0" xfId="48" applyNumberFormat="1"/>
    <xf numFmtId="0" fontId="36" fillId="0" borderId="0" xfId="58" applyAlignment="1">
      <alignment horizontal="left"/>
    </xf>
    <xf numFmtId="0" fontId="1" fillId="5" borderId="0" xfId="49" applyAlignment="1">
      <alignment horizontal="left"/>
    </xf>
    <xf numFmtId="0" fontId="1" fillId="3" borderId="0" xfId="1" applyNumberFormat="1" applyAlignment="1">
      <alignment horizontal="right"/>
    </xf>
    <xf numFmtId="10" fontId="8" fillId="4" borderId="0" xfId="55" applyNumberFormat="1">
      <alignment vertical="top"/>
    </xf>
    <xf numFmtId="10" fontId="8" fillId="0" borderId="0" xfId="55" applyNumberFormat="1" applyFill="1">
      <alignment vertical="top"/>
    </xf>
    <xf numFmtId="0" fontId="22" fillId="37" borderId="0" xfId="48" applyAlignment="1">
      <alignment horizontal="left"/>
    </xf>
    <xf numFmtId="0" fontId="35" fillId="0" borderId="0" xfId="52" applyBorder="1" applyAlignment="1">
      <alignment horizontal="left"/>
    </xf>
    <xf numFmtId="175" fontId="8" fillId="0" borderId="0" xfId="60" applyNumberFormat="1" applyAlignment="1"/>
    <xf numFmtId="175" fontId="8" fillId="0" borderId="1" xfId="60" applyNumberFormat="1" applyBorder="1" applyAlignment="1"/>
    <xf numFmtId="175" fontId="8" fillId="0" borderId="3" xfId="60" applyNumberFormat="1" applyBorder="1" applyAlignment="1"/>
    <xf numFmtId="175" fontId="35" fillId="0" borderId="2" xfId="52" applyNumberFormat="1" applyBorder="1"/>
    <xf numFmtId="4" fontId="8" fillId="0" borderId="0" xfId="60" applyNumberFormat="1" applyAlignment="1"/>
    <xf numFmtId="3" fontId="35" fillId="0" borderId="0" xfId="52" applyNumberFormat="1" applyBorder="1"/>
    <xf numFmtId="0" fontId="1" fillId="5" borderId="0" xfId="0" applyFont="1" applyFill="1"/>
    <xf numFmtId="0" fontId="0" fillId="5" borderId="0" xfId="0" applyFill="1"/>
    <xf numFmtId="0" fontId="5" fillId="5" borderId="0" xfId="0" applyFont="1" applyFill="1"/>
    <xf numFmtId="9" fontId="34" fillId="0" borderId="2" xfId="56" applyBorder="1"/>
    <xf numFmtId="0" fontId="0" fillId="0" borderId="4" xfId="0" applyBorder="1"/>
    <xf numFmtId="9" fontId="35" fillId="0" borderId="4" xfId="52" applyNumberFormat="1" applyBorder="1"/>
    <xf numFmtId="0" fontId="8" fillId="4" borderId="4" xfId="55" applyNumberFormat="1" applyBorder="1">
      <alignment vertical="top"/>
    </xf>
    <xf numFmtId="9" fontId="35" fillId="0" borderId="0" xfId="52" applyNumberFormat="1" applyBorder="1"/>
    <xf numFmtId="0" fontId="28" fillId="5" borderId="0" xfId="0" applyFont="1" applyFill="1"/>
    <xf numFmtId="0" fontId="0" fillId="0" borderId="0" xfId="0" applyAlignment="1">
      <alignment horizontal="right" vertical="top"/>
    </xf>
    <xf numFmtId="49" fontId="1" fillId="3" borderId="0" xfId="1" applyAlignment="1">
      <alignment horizontal="right" vertical="center" wrapText="1"/>
    </xf>
    <xf numFmtId="0" fontId="0" fillId="0" borderId="0" xfId="0" applyAlignment="1">
      <alignment wrapText="1"/>
    </xf>
    <xf numFmtId="10" fontId="34" fillId="0" borderId="0" xfId="56" applyNumberFormat="1"/>
    <xf numFmtId="9" fontId="0" fillId="0" borderId="0" xfId="0" applyNumberFormat="1" applyAlignment="1">
      <alignment vertical="top"/>
    </xf>
    <xf numFmtId="9" fontId="35" fillId="0" borderId="0" xfId="52" applyNumberFormat="1" applyBorder="1" applyAlignment="1">
      <alignment vertical="top"/>
    </xf>
    <xf numFmtId="0" fontId="7" fillId="0" borderId="0" xfId="50" applyAlignment="1">
      <alignment wrapText="1"/>
    </xf>
    <xf numFmtId="175" fontId="34" fillId="0" borderId="0" xfId="56" applyNumberFormat="1"/>
    <xf numFmtId="175" fontId="35" fillId="0" borderId="0" xfId="52" applyNumberFormat="1" applyBorder="1"/>
    <xf numFmtId="10" fontId="0" fillId="0" borderId="0" xfId="0" applyNumberFormat="1" applyAlignment="1">
      <alignment vertical="top"/>
    </xf>
    <xf numFmtId="10" fontId="0" fillId="0" borderId="17" xfId="0" applyNumberFormat="1" applyBorder="1"/>
    <xf numFmtId="175" fontId="34" fillId="0" borderId="2" xfId="56" applyNumberFormat="1" applyBorder="1"/>
    <xf numFmtId="175" fontId="34" fillId="0" borderId="3" xfId="56" applyNumberFormat="1" applyBorder="1"/>
    <xf numFmtId="175" fontId="8" fillId="0" borderId="2" xfId="60" applyNumberFormat="1" applyBorder="1" applyAlignment="1"/>
    <xf numFmtId="175" fontId="0" fillId="0" borderId="0" xfId="0" applyNumberFormat="1" applyAlignment="1">
      <alignment vertical="top"/>
    </xf>
    <xf numFmtId="0" fontId="23" fillId="0" borderId="0" xfId="0" applyFont="1" applyAlignment="1">
      <alignment horizontal="right"/>
    </xf>
    <xf numFmtId="4" fontId="0" fillId="0" borderId="2" xfId="0" applyNumberFormat="1" applyBorder="1"/>
    <xf numFmtId="4" fontId="0" fillId="0" borderId="3" xfId="0" applyNumberFormat="1" applyBorder="1"/>
    <xf numFmtId="175" fontId="35" fillId="0" borderId="3" xfId="52" applyNumberFormat="1" applyBorder="1"/>
    <xf numFmtId="0" fontId="0" fillId="5" borderId="0" xfId="0" applyFill="1" applyAlignment="1">
      <alignment horizontal="left"/>
    </xf>
    <xf numFmtId="4" fontId="1" fillId="5" borderId="0" xfId="49" applyNumberFormat="1"/>
    <xf numFmtId="0" fontId="1" fillId="3" borderId="2" xfId="1" applyNumberFormat="1" applyBorder="1" applyAlignment="1"/>
    <xf numFmtId="0" fontId="1" fillId="3" borderId="2" xfId="1" applyNumberFormat="1" applyBorder="1" applyAlignment="1">
      <alignment vertical="top"/>
    </xf>
    <xf numFmtId="0" fontId="1" fillId="3" borderId="2" xfId="1" applyNumberFormat="1" applyBorder="1" applyAlignment="1">
      <alignment horizontal="right" vertical="top"/>
    </xf>
    <xf numFmtId="174" fontId="34" fillId="0" borderId="0" xfId="56" applyNumberFormat="1"/>
    <xf numFmtId="174" fontId="34" fillId="0" borderId="3" xfId="56" applyNumberFormat="1" applyBorder="1"/>
    <xf numFmtId="0" fontId="1" fillId="3" borderId="2" xfId="1" applyNumberFormat="1" applyBorder="1" applyAlignment="1">
      <alignment horizontal="right"/>
    </xf>
    <xf numFmtId="49" fontId="1" fillId="3" borderId="2" xfId="1" applyBorder="1" applyAlignment="1">
      <alignment horizontal="right" vertical="center" wrapText="1"/>
    </xf>
    <xf numFmtId="9" fontId="34" fillId="0" borderId="3" xfId="56" applyBorder="1"/>
    <xf numFmtId="0" fontId="1" fillId="3" borderId="2" xfId="1" applyNumberFormat="1" applyBorder="1" applyAlignment="1">
      <alignment horizontal="left"/>
    </xf>
    <xf numFmtId="9" fontId="35" fillId="0" borderId="3" xfId="52" applyNumberFormat="1" applyBorder="1"/>
    <xf numFmtId="174" fontId="34" fillId="0" borderId="2" xfId="56" applyNumberFormat="1" applyBorder="1"/>
    <xf numFmtId="9" fontId="8" fillId="0" borderId="0" xfId="60" applyNumberFormat="1" applyAlignment="1"/>
    <xf numFmtId="3" fontId="34" fillId="0" borderId="0" xfId="56" applyNumberFormat="1" applyAlignment="1">
      <alignment horizontal="right"/>
    </xf>
    <xf numFmtId="0" fontId="34" fillId="0" borderId="2" xfId="56" applyNumberFormat="1" applyBorder="1" applyAlignment="1">
      <alignment horizontal="right"/>
    </xf>
    <xf numFmtId="0" fontId="34" fillId="0" borderId="3" xfId="56" applyNumberFormat="1" applyBorder="1" applyAlignment="1">
      <alignment horizontal="right"/>
    </xf>
    <xf numFmtId="4" fontId="34" fillId="0" borderId="2" xfId="56" applyNumberFormat="1" applyBorder="1"/>
    <xf numFmtId="4" fontId="34" fillId="0" borderId="0" xfId="56" applyNumberFormat="1"/>
    <xf numFmtId="4" fontId="34" fillId="0" borderId="3" xfId="56" applyNumberFormat="1" applyBorder="1"/>
    <xf numFmtId="0" fontId="7" fillId="0" borderId="4" xfId="50" applyBorder="1"/>
    <xf numFmtId="175" fontId="8" fillId="0" borderId="4" xfId="60" applyNumberFormat="1" applyBorder="1" applyAlignment="1"/>
    <xf numFmtId="9" fontId="8" fillId="0" borderId="2" xfId="60" applyNumberFormat="1" applyBorder="1" applyAlignment="1"/>
    <xf numFmtId="9" fontId="8" fillId="0" borderId="3" xfId="60" applyNumberFormat="1" applyBorder="1" applyAlignment="1"/>
    <xf numFmtId="9" fontId="0" fillId="0" borderId="2" xfId="0" applyNumberFormat="1" applyBorder="1"/>
    <xf numFmtId="9" fontId="8" fillId="0" borderId="4" xfId="60" applyNumberFormat="1" applyBorder="1" applyAlignment="1"/>
    <xf numFmtId="175" fontId="0" fillId="0" borderId="2" xfId="0" applyNumberFormat="1" applyBorder="1"/>
    <xf numFmtId="9" fontId="7" fillId="0" borderId="2" xfId="50" applyNumberFormat="1" applyBorder="1"/>
    <xf numFmtId="9" fontId="7" fillId="0" borderId="0" xfId="50" applyNumberFormat="1"/>
    <xf numFmtId="9" fontId="7" fillId="0" borderId="3" xfId="50" applyNumberFormat="1" applyBorder="1"/>
    <xf numFmtId="175" fontId="0" fillId="5" borderId="0" xfId="0" applyNumberFormat="1" applyFill="1"/>
    <xf numFmtId="175" fontId="0" fillId="0" borderId="0" xfId="0" applyNumberFormat="1" applyAlignment="1">
      <alignment horizontal="right"/>
    </xf>
    <xf numFmtId="4" fontId="0" fillId="0" borderId="0" xfId="0" applyNumberFormat="1" applyAlignment="1">
      <alignment horizontal="right"/>
    </xf>
    <xf numFmtId="10" fontId="8" fillId="4" borderId="2" xfId="55" applyNumberFormat="1" applyBorder="1">
      <alignment vertical="top"/>
    </xf>
    <xf numFmtId="10" fontId="0" fillId="0" borderId="0" xfId="0" applyNumberFormat="1"/>
    <xf numFmtId="175" fontId="0" fillId="0" borderId="4" xfId="0" applyNumberFormat="1" applyBorder="1"/>
    <xf numFmtId="4" fontId="0" fillId="0" borderId="4" xfId="0" applyNumberFormat="1" applyBorder="1"/>
    <xf numFmtId="0" fontId="34" fillId="0" borderId="0" xfId="56" applyNumberFormat="1" applyAlignment="1">
      <alignment horizontal="right"/>
    </xf>
    <xf numFmtId="0" fontId="5" fillId="0" borderId="0" xfId="0" applyFont="1" applyAlignment="1">
      <alignment horizontal="right"/>
    </xf>
    <xf numFmtId="169" fontId="0" fillId="0" borderId="0" xfId="0" applyNumberFormat="1"/>
    <xf numFmtId="9" fontId="35" fillId="0" borderId="2" xfId="52" applyNumberFormat="1" applyBorder="1"/>
    <xf numFmtId="10" fontId="23" fillId="0" borderId="0" xfId="0" applyNumberFormat="1" applyFont="1" applyAlignment="1">
      <alignment horizontal="right"/>
    </xf>
    <xf numFmtId="0" fontId="34" fillId="0" borderId="2" xfId="56" applyNumberFormat="1" applyBorder="1"/>
    <xf numFmtId="0" fontId="22" fillId="37" borderId="0" xfId="48" applyAlignment="1">
      <alignment vertical="top"/>
    </xf>
    <xf numFmtId="169" fontId="8" fillId="0" borderId="0" xfId="60" applyNumberFormat="1" applyAlignment="1"/>
    <xf numFmtId="49" fontId="7" fillId="0" borderId="0" xfId="50" applyNumberFormat="1" applyAlignment="1">
      <alignment wrapText="1"/>
    </xf>
    <xf numFmtId="168" fontId="8" fillId="4" borderId="0" xfId="55">
      <alignment vertical="top"/>
    </xf>
    <xf numFmtId="169" fontId="34" fillId="0" borderId="0" xfId="56" applyNumberFormat="1"/>
    <xf numFmtId="169" fontId="8" fillId="4" borderId="0" xfId="55" applyNumberFormat="1">
      <alignment vertical="top"/>
    </xf>
    <xf numFmtId="49" fontId="0" fillId="0" borderId="0" xfId="0" applyNumberFormat="1"/>
    <xf numFmtId="175" fontId="8" fillId="0" borderId="0" xfId="60" applyNumberFormat="1" applyAlignment="1">
      <alignment vertical="center"/>
    </xf>
    <xf numFmtId="4" fontId="4" fillId="0" borderId="0" xfId="0" applyNumberFormat="1" applyFont="1" applyAlignment="1">
      <alignment vertical="top"/>
    </xf>
    <xf numFmtId="175" fontId="1" fillId="5" borderId="0" xfId="49" applyNumberFormat="1"/>
    <xf numFmtId="175" fontId="22" fillId="37" borderId="0" xfId="48" applyNumberFormat="1" applyAlignment="1">
      <alignment vertical="top"/>
    </xf>
    <xf numFmtId="169" fontId="35" fillId="0" borderId="0" xfId="52" applyNumberFormat="1" applyBorder="1"/>
    <xf numFmtId="3" fontId="8" fillId="0" borderId="0" xfId="60" applyAlignment="1"/>
    <xf numFmtId="3" fontId="8" fillId="4" borderId="0" xfId="55" applyNumberFormat="1">
      <alignment vertical="top"/>
    </xf>
    <xf numFmtId="0" fontId="22" fillId="37" borderId="0" xfId="48" applyAlignment="1">
      <alignment horizontal="right"/>
    </xf>
    <xf numFmtId="49" fontId="0" fillId="0" borderId="2" xfId="50" applyNumberFormat="1" applyFont="1" applyBorder="1"/>
    <xf numFmtId="49" fontId="7" fillId="0" borderId="0" xfId="50" applyNumberFormat="1"/>
    <xf numFmtId="49" fontId="7" fillId="0" borderId="3" xfId="50" applyNumberFormat="1" applyBorder="1"/>
    <xf numFmtId="175" fontId="34" fillId="0" borderId="2" xfId="56" applyNumberFormat="1" applyBorder="1" applyAlignment="1">
      <alignment horizontal="right"/>
    </xf>
    <xf numFmtId="175" fontId="34" fillId="0" borderId="0" xfId="56" applyNumberFormat="1" applyAlignment="1">
      <alignment horizontal="right"/>
    </xf>
    <xf numFmtId="175" fontId="34" fillId="0" borderId="3" xfId="56" applyNumberFormat="1" applyBorder="1" applyAlignment="1">
      <alignment horizontal="right"/>
    </xf>
    <xf numFmtId="175" fontId="8" fillId="4" borderId="2" xfId="55" applyNumberFormat="1" applyBorder="1" applyAlignment="1">
      <alignment horizontal="right" vertical="top"/>
    </xf>
    <xf numFmtId="175" fontId="8" fillId="4" borderId="0" xfId="55" applyNumberFormat="1" applyAlignment="1">
      <alignment horizontal="right" vertical="top"/>
    </xf>
    <xf numFmtId="175" fontId="22" fillId="37" borderId="0" xfId="48" applyNumberFormat="1" applyAlignment="1">
      <alignment horizontal="right"/>
    </xf>
    <xf numFmtId="175" fontId="35" fillId="0" borderId="0" xfId="52" applyNumberFormat="1" applyBorder="1" applyAlignment="1">
      <alignment horizontal="right"/>
    </xf>
    <xf numFmtId="0" fontId="1" fillId="5" borderId="0" xfId="49" applyAlignment="1">
      <alignment horizontal="right"/>
    </xf>
    <xf numFmtId="3" fontId="8" fillId="0" borderId="0" xfId="60" applyAlignment="1">
      <alignment horizontal="right"/>
    </xf>
    <xf numFmtId="3" fontId="0" fillId="0" borderId="0" xfId="0" applyNumberFormat="1"/>
    <xf numFmtId="0" fontId="31" fillId="0" borderId="0" xfId="0" applyFont="1"/>
    <xf numFmtId="173" fontId="0" fillId="0" borderId="0" xfId="0" applyNumberFormat="1"/>
    <xf numFmtId="0" fontId="5" fillId="0" borderId="0" xfId="53" applyFont="1"/>
    <xf numFmtId="0" fontId="1" fillId="0" borderId="0" xfId="0" applyFont="1"/>
    <xf numFmtId="9" fontId="34" fillId="0" borderId="4" xfId="56" applyBorder="1"/>
    <xf numFmtId="171" fontId="34" fillId="0" borderId="2" xfId="56" applyNumberFormat="1" applyBorder="1"/>
    <xf numFmtId="171" fontId="34" fillId="0" borderId="0" xfId="56" applyNumberFormat="1"/>
    <xf numFmtId="167" fontId="0" fillId="0" borderId="0" xfId="0" applyNumberFormat="1"/>
    <xf numFmtId="49" fontId="1" fillId="3" borderId="0" xfId="0" applyNumberFormat="1" applyFont="1" applyFill="1" applyAlignment="1">
      <alignment horizontal="left" vertical="center"/>
    </xf>
    <xf numFmtId="49" fontId="1" fillId="3" borderId="0" xfId="0" applyNumberFormat="1" applyFont="1" applyFill="1" applyAlignment="1">
      <alignment horizontal="right" vertical="center"/>
    </xf>
    <xf numFmtId="175" fontId="8" fillId="0" borderId="15" xfId="60" applyNumberFormat="1" applyBorder="1" applyAlignment="1"/>
    <xf numFmtId="3" fontId="1" fillId="3" borderId="0" xfId="0" applyNumberFormat="1" applyFont="1" applyFill="1" applyAlignment="1">
      <alignment horizontal="right" vertical="center"/>
    </xf>
    <xf numFmtId="0" fontId="34" fillId="0" borderId="3" xfId="56" applyNumberFormat="1" applyBorder="1"/>
    <xf numFmtId="0" fontId="0" fillId="0" borderId="0" xfId="0" applyAlignment="1">
      <alignment horizontal="left" vertical="top"/>
    </xf>
    <xf numFmtId="175" fontId="23" fillId="0" borderId="0" xfId="0" applyNumberFormat="1" applyFont="1" applyAlignment="1">
      <alignment horizontal="right"/>
    </xf>
    <xf numFmtId="0" fontId="0" fillId="0" borderId="4" xfId="0" applyBorder="1" applyAlignment="1">
      <alignment horizontal="left"/>
    </xf>
    <xf numFmtId="175" fontId="8" fillId="0" borderId="0" xfId="60" applyNumberFormat="1" applyAlignment="1">
      <alignment horizontal="right"/>
    </xf>
    <xf numFmtId="175" fontId="8" fillId="0" borderId="4" xfId="60" applyNumberFormat="1" applyBorder="1" applyAlignment="1">
      <alignment horizontal="right"/>
    </xf>
    <xf numFmtId="175" fontId="34" fillId="0" borderId="4" xfId="56" applyNumberFormat="1" applyBorder="1"/>
    <xf numFmtId="4" fontId="8" fillId="0" borderId="2" xfId="60" applyNumberFormat="1" applyBorder="1" applyAlignment="1"/>
    <xf numFmtId="4" fontId="8" fillId="0" borderId="4" xfId="60" applyNumberFormat="1" applyBorder="1" applyAlignment="1"/>
    <xf numFmtId="171" fontId="8" fillId="39" borderId="2" xfId="65" applyNumberFormat="1" applyFont="1" applyBorder="1" applyAlignment="1">
      <alignment horizontal="right"/>
    </xf>
    <xf numFmtId="172" fontId="8" fillId="39" borderId="2" xfId="65" applyNumberFormat="1" applyFont="1" applyBorder="1" applyAlignment="1">
      <alignment horizontal="right"/>
    </xf>
    <xf numFmtId="171" fontId="8" fillId="39" borderId="0" xfId="65" applyNumberFormat="1" applyFont="1" applyAlignment="1">
      <alignment horizontal="right"/>
    </xf>
    <xf numFmtId="172" fontId="8" fillId="39" borderId="0" xfId="65" applyNumberFormat="1" applyFont="1" applyAlignment="1">
      <alignment horizontal="right"/>
    </xf>
    <xf numFmtId="171" fontId="8" fillId="39" borderId="3" xfId="65" applyNumberFormat="1" applyFont="1" applyBorder="1" applyAlignment="1">
      <alignment horizontal="right"/>
    </xf>
    <xf numFmtId="172" fontId="8" fillId="39" borderId="3" xfId="65" applyNumberFormat="1" applyFont="1" applyBorder="1" applyAlignment="1">
      <alignment horizontal="right"/>
    </xf>
    <xf numFmtId="172" fontId="0" fillId="0" borderId="0" xfId="0" applyNumberFormat="1" applyAlignment="1">
      <alignment horizontal="right"/>
    </xf>
    <xf numFmtId="171" fontId="8" fillId="4" borderId="0" xfId="55" applyNumberFormat="1">
      <alignment vertical="top"/>
    </xf>
    <xf numFmtId="171" fontId="8" fillId="4" borderId="3" xfId="55" applyNumberFormat="1" applyBorder="1">
      <alignment vertical="top"/>
    </xf>
    <xf numFmtId="172" fontId="0" fillId="0" borderId="0" xfId="0" applyNumberFormat="1"/>
    <xf numFmtId="172" fontId="2" fillId="0" borderId="0" xfId="53" applyNumberFormat="1"/>
    <xf numFmtId="172" fontId="1" fillId="5" borderId="0" xfId="0" applyNumberFormat="1" applyFont="1" applyFill="1"/>
    <xf numFmtId="175" fontId="8" fillId="39" borderId="2" xfId="65" applyNumberFormat="1" applyFont="1" applyBorder="1"/>
    <xf numFmtId="175" fontId="8" fillId="39" borderId="0" xfId="65" applyNumberFormat="1" applyFont="1"/>
    <xf numFmtId="175" fontId="8" fillId="39" borderId="3" xfId="65" applyNumberFormat="1" applyFont="1" applyBorder="1"/>
    <xf numFmtId="0" fontId="7" fillId="0" borderId="0" xfId="64" applyAlignment="1">
      <alignment horizontal="left"/>
    </xf>
    <xf numFmtId="0" fontId="1" fillId="3" borderId="0" xfId="1" applyNumberFormat="1" applyAlignment="1">
      <alignment horizontal="right" wrapText="1"/>
    </xf>
    <xf numFmtId="0" fontId="0" fillId="0" borderId="2" xfId="64" applyFont="1" applyBorder="1" applyAlignment="1">
      <alignment horizontal="left"/>
    </xf>
    <xf numFmtId="0" fontId="0" fillId="0" borderId="0" xfId="64" applyFont="1" applyAlignment="1">
      <alignment horizontal="left"/>
    </xf>
    <xf numFmtId="0" fontId="0" fillId="0" borderId="3" xfId="64" applyFont="1" applyBorder="1" applyAlignment="1">
      <alignment horizontal="left"/>
    </xf>
    <xf numFmtId="0" fontId="32" fillId="0" borderId="0" xfId="0" applyFont="1" applyAlignment="1">
      <alignment vertical="center"/>
    </xf>
    <xf numFmtId="0" fontId="8" fillId="2" borderId="0" xfId="51" applyAlignment="1" applyProtection="1">
      <alignment horizontal="left" vertical="top" wrapText="1"/>
      <protection locked="0"/>
    </xf>
    <xf numFmtId="0" fontId="7" fillId="38" borderId="0" xfId="59" applyAlignment="1" applyProtection="1">
      <protection locked="0"/>
    </xf>
    <xf numFmtId="0" fontId="8" fillId="2" borderId="0" xfId="51" applyProtection="1">
      <protection locked="0"/>
    </xf>
    <xf numFmtId="0" fontId="8" fillId="39" borderId="0" xfId="51" applyFill="1" applyProtection="1">
      <protection locked="0"/>
    </xf>
    <xf numFmtId="170" fontId="8" fillId="2" borderId="0" xfId="51" applyNumberFormat="1" applyAlignment="1" applyProtection="1">
      <alignment horizontal="left" vertical="top" wrapText="1"/>
      <protection locked="0"/>
    </xf>
    <xf numFmtId="0" fontId="7" fillId="38" borderId="2" xfId="59" applyBorder="1" applyAlignment="1" applyProtection="1">
      <protection locked="0"/>
    </xf>
    <xf numFmtId="0" fontId="7" fillId="38" borderId="3" xfId="59" applyBorder="1" applyAlignment="1" applyProtection="1">
      <protection locked="0"/>
    </xf>
    <xf numFmtId="9" fontId="7" fillId="38" borderId="0" xfId="59" applyNumberFormat="1" applyAlignment="1" applyProtection="1">
      <protection locked="0"/>
    </xf>
    <xf numFmtId="9" fontId="7" fillId="38" borderId="3" xfId="59" applyNumberFormat="1" applyBorder="1" applyAlignment="1" applyProtection="1">
      <protection locked="0"/>
    </xf>
    <xf numFmtId="0" fontId="7" fillId="38" borderId="0" xfId="59" applyAlignment="1" applyProtection="1">
      <alignment horizontal="right"/>
      <protection locked="0"/>
    </xf>
    <xf numFmtId="9" fontId="7" fillId="38" borderId="0" xfId="59" applyNumberFormat="1" applyAlignment="1" applyProtection="1">
      <alignment horizontal="right"/>
      <protection locked="0"/>
    </xf>
    <xf numFmtId="9" fontId="8" fillId="2" borderId="0" xfId="51" applyNumberFormat="1" applyProtection="1">
      <protection locked="0"/>
    </xf>
    <xf numFmtId="175" fontId="8" fillId="2" borderId="2" xfId="51" applyNumberFormat="1" applyBorder="1" applyProtection="1">
      <protection locked="0"/>
    </xf>
    <xf numFmtId="175" fontId="8" fillId="2" borderId="0" xfId="51" applyNumberFormat="1" applyProtection="1">
      <protection locked="0"/>
    </xf>
    <xf numFmtId="175" fontId="8" fillId="2" borderId="3" xfId="51" applyNumberFormat="1" applyBorder="1" applyProtection="1">
      <protection locked="0"/>
    </xf>
    <xf numFmtId="9" fontId="8" fillId="2" borderId="2" xfId="51" applyNumberFormat="1" applyBorder="1" applyProtection="1">
      <protection locked="0"/>
    </xf>
    <xf numFmtId="9" fontId="8" fillId="2" borderId="3" xfId="51" applyNumberFormat="1" applyBorder="1" applyProtection="1">
      <protection locked="0"/>
    </xf>
    <xf numFmtId="10" fontId="8" fillId="2" borderId="0" xfId="51" applyNumberFormat="1" applyProtection="1">
      <protection locked="0"/>
    </xf>
    <xf numFmtId="0" fontId="0" fillId="0" borderId="0" xfId="64" applyFont="1"/>
    <xf numFmtId="0" fontId="2" fillId="0" borderId="0" xfId="64" applyFont="1"/>
    <xf numFmtId="175" fontId="8" fillId="0" borderId="0" xfId="64" applyNumberFormat="1" applyFont="1" applyAlignment="1">
      <alignment vertical="top"/>
    </xf>
    <xf numFmtId="175" fontId="8" fillId="0" borderId="0" xfId="64" applyNumberFormat="1" applyFont="1"/>
    <xf numFmtId="0" fontId="7" fillId="0" borderId="0" xfId="64"/>
    <xf numFmtId="175" fontId="34" fillId="0" borderId="0" xfId="64" applyNumberFormat="1" applyFont="1"/>
    <xf numFmtId="176" fontId="0" fillId="0" borderId="2" xfId="0" applyNumberFormat="1" applyBorder="1"/>
    <xf numFmtId="176" fontId="8" fillId="2" borderId="2" xfId="51" applyNumberFormat="1" applyBorder="1" applyProtection="1">
      <protection locked="0"/>
    </xf>
    <xf numFmtId="176" fontId="0" fillId="0" borderId="0" xfId="0" applyNumberFormat="1"/>
    <xf numFmtId="176" fontId="8" fillId="4" borderId="0" xfId="55" applyNumberFormat="1">
      <alignment vertical="top"/>
    </xf>
    <xf numFmtId="176" fontId="8" fillId="2" borderId="0" xfId="51" applyNumberFormat="1" applyProtection="1">
      <protection locked="0"/>
    </xf>
    <xf numFmtId="176" fontId="8" fillId="2" borderId="0" xfId="51" applyNumberFormat="1" applyAlignment="1" applyProtection="1">
      <alignment vertical="top"/>
      <protection locked="0"/>
    </xf>
    <xf numFmtId="176" fontId="0" fillId="0" borderId="3" xfId="0" applyNumberFormat="1" applyBorder="1"/>
    <xf numFmtId="176" fontId="8" fillId="4" borderId="3" xfId="55" applyNumberFormat="1" applyBorder="1">
      <alignment vertical="top"/>
    </xf>
    <xf numFmtId="176" fontId="8" fillId="2" borderId="3" xfId="51" applyNumberFormat="1" applyBorder="1" applyProtection="1">
      <protection locked="0"/>
    </xf>
    <xf numFmtId="176" fontId="35" fillId="0" borderId="2" xfId="52" applyNumberFormat="1" applyBorder="1"/>
    <xf numFmtId="176" fontId="35" fillId="0" borderId="0" xfId="52" applyNumberFormat="1" applyBorder="1"/>
    <xf numFmtId="176" fontId="35" fillId="0" borderId="3" xfId="52" applyNumberFormat="1" applyBorder="1"/>
    <xf numFmtId="176" fontId="35" fillId="0" borderId="2" xfId="52" applyNumberFormat="1" applyBorder="1" applyAlignment="1">
      <alignment horizontal="right"/>
    </xf>
    <xf numFmtId="176" fontId="35" fillId="0" borderId="0" xfId="52" applyNumberFormat="1" applyBorder="1" applyAlignment="1">
      <alignment horizontal="right"/>
    </xf>
    <xf numFmtId="176" fontId="35" fillId="0" borderId="3" xfId="52" applyNumberFormat="1" applyBorder="1" applyAlignment="1">
      <alignment horizontal="right"/>
    </xf>
    <xf numFmtId="176" fontId="35" fillId="0" borderId="3" xfId="52" applyNumberFormat="1" applyBorder="1" applyAlignment="1">
      <alignment vertical="top"/>
    </xf>
    <xf numFmtId="176" fontId="34" fillId="0" borderId="2" xfId="56" applyNumberFormat="1" applyBorder="1"/>
    <xf numFmtId="176" fontId="34" fillId="0" borderId="0" xfId="56" applyNumberFormat="1"/>
    <xf numFmtId="176" fontId="8" fillId="4" borderId="2" xfId="55" applyNumberFormat="1" applyBorder="1">
      <alignment vertical="top"/>
    </xf>
    <xf numFmtId="176" fontId="8" fillId="0" borderId="2" xfId="60" applyNumberFormat="1" applyBorder="1" applyAlignment="1"/>
    <xf numFmtId="176" fontId="8" fillId="0" borderId="0" xfId="60" applyNumberFormat="1" applyAlignment="1"/>
    <xf numFmtId="176" fontId="34" fillId="0" borderId="3" xfId="56" applyNumberFormat="1" applyBorder="1"/>
    <xf numFmtId="176" fontId="8" fillId="0" borderId="3" xfId="60" applyNumberFormat="1" applyBorder="1" applyAlignment="1"/>
    <xf numFmtId="176" fontId="0" fillId="0" borderId="15" xfId="0" applyNumberFormat="1" applyBorder="1"/>
    <xf numFmtId="176" fontId="8" fillId="0" borderId="16" xfId="60" applyNumberFormat="1" applyBorder="1" applyAlignment="1"/>
    <xf numFmtId="176" fontId="8" fillId="39" borderId="2" xfId="65" applyNumberFormat="1" applyFont="1" applyBorder="1"/>
    <xf numFmtId="176" fontId="8" fillId="39" borderId="0" xfId="65" applyNumberFormat="1" applyFont="1"/>
    <xf numFmtId="176" fontId="8" fillId="39" borderId="3" xfId="65" applyNumberFormat="1" applyFont="1" applyBorder="1"/>
    <xf numFmtId="0" fontId="1" fillId="3" borderId="19" xfId="1" applyNumberFormat="1" applyBorder="1" applyAlignment="1"/>
    <xf numFmtId="0" fontId="26" fillId="44" borderId="0" xfId="54" quotePrefix="1" applyFill="1"/>
    <xf numFmtId="0" fontId="26" fillId="44" borderId="20" xfId="54" quotePrefix="1" applyFill="1" applyBorder="1"/>
    <xf numFmtId="0" fontId="26" fillId="45" borderId="0" xfId="54" quotePrefix="1" applyFill="1"/>
    <xf numFmtId="0" fontId="26" fillId="45" borderId="20" xfId="54" quotePrefix="1" applyFill="1" applyBorder="1"/>
    <xf numFmtId="0" fontId="26" fillId="37" borderId="0" xfId="54" quotePrefix="1" applyFill="1"/>
    <xf numFmtId="0" fontId="26" fillId="37" borderId="20" xfId="54" quotePrefix="1" applyFill="1" applyBorder="1"/>
    <xf numFmtId="0" fontId="26" fillId="46" borderId="0" xfId="54" quotePrefix="1" applyFill="1"/>
    <xf numFmtId="0" fontId="26" fillId="46" borderId="20" xfId="54" quotePrefix="1" applyFill="1" applyBorder="1"/>
    <xf numFmtId="170" fontId="0" fillId="2" borderId="0" xfId="51" applyNumberFormat="1" applyFont="1" applyBorder="1" applyAlignment="1" applyProtection="1">
      <alignment horizontal="left" vertical="top" wrapText="1"/>
      <protection locked="0"/>
    </xf>
    <xf numFmtId="0" fontId="8" fillId="2" borderId="0" xfId="51" applyAlignment="1" applyProtection="1">
      <alignment wrapText="1"/>
      <protection locked="0"/>
    </xf>
    <xf numFmtId="0" fontId="0" fillId="0" borderId="0" xfId="0" applyFont="1" applyAlignment="1" applyProtection="1">
      <alignment vertical="center"/>
    </xf>
    <xf numFmtId="49" fontId="1" fillId="3" borderId="0" xfId="1" applyNumberFormat="1" applyAlignment="1">
      <alignment horizontal="left" vertical="center" wrapText="1"/>
    </xf>
    <xf numFmtId="49" fontId="1" fillId="3" borderId="0" xfId="1" applyNumberFormat="1" applyAlignment="1">
      <alignment horizontal="right" vertical="center" wrapText="1"/>
    </xf>
    <xf numFmtId="0" fontId="32" fillId="0" borderId="3" xfId="0" applyFont="1" applyBorder="1" applyAlignment="1">
      <alignment vertical="center"/>
    </xf>
    <xf numFmtId="3" fontId="8" fillId="4" borderId="3" xfId="55" applyNumberFormat="1" applyBorder="1">
      <alignment vertical="top"/>
    </xf>
    <xf numFmtId="9" fontId="8" fillId="39" borderId="3" xfId="65" applyNumberFormat="1" applyFont="1" applyBorder="1"/>
    <xf numFmtId="0" fontId="32" fillId="0" borderId="4" xfId="0" applyFont="1" applyBorder="1" applyAlignment="1">
      <alignment vertical="center"/>
    </xf>
    <xf numFmtId="175" fontId="8" fillId="39" borderId="4" xfId="65" applyNumberFormat="1" applyFont="1" applyBorder="1"/>
    <xf numFmtId="175" fontId="8" fillId="4" borderId="4" xfId="55" applyNumberFormat="1" applyBorder="1">
      <alignment vertical="top"/>
    </xf>
    <xf numFmtId="0" fontId="32" fillId="0" borderId="2" xfId="0" applyFont="1" applyBorder="1" applyAlignment="1">
      <alignment vertical="center"/>
    </xf>
    <xf numFmtId="176" fontId="0" fillId="0" borderId="4" xfId="0" applyNumberFormat="1" applyBorder="1"/>
    <xf numFmtId="176" fontId="8" fillId="39" borderId="4" xfId="65" applyNumberFormat="1" applyFont="1" applyBorder="1"/>
    <xf numFmtId="9" fontId="8" fillId="39" borderId="4" xfId="65" applyNumberFormat="1" applyFont="1" applyBorder="1"/>
    <xf numFmtId="10" fontId="8" fillId="39" borderId="2" xfId="65" applyNumberFormat="1" applyFont="1" applyBorder="1"/>
    <xf numFmtId="10" fontId="8" fillId="39" borderId="3" xfId="65" applyNumberFormat="1" applyFont="1" applyBorder="1"/>
    <xf numFmtId="0" fontId="0" fillId="0" borderId="0" xfId="0" applyBorder="1"/>
    <xf numFmtId="0" fontId="7" fillId="0" borderId="0" xfId="53" applyFont="1" applyBorder="1"/>
    <xf numFmtId="0" fontId="7" fillId="0" borderId="0" xfId="50" applyBorder="1"/>
    <xf numFmtId="0" fontId="34" fillId="0" borderId="0" xfId="56" applyNumberFormat="1" applyBorder="1" applyAlignment="1">
      <alignment horizontal="right"/>
    </xf>
    <xf numFmtId="177" fontId="34" fillId="0" borderId="0" xfId="56" applyNumberFormat="1"/>
    <xf numFmtId="177" fontId="8" fillId="4" borderId="0" xfId="55" applyNumberFormat="1">
      <alignment vertical="top"/>
    </xf>
    <xf numFmtId="9" fontId="8" fillId="4" borderId="2" xfId="55" applyNumberFormat="1" applyBorder="1">
      <alignment vertical="top"/>
    </xf>
    <xf numFmtId="4" fontId="8" fillId="0" borderId="0" xfId="60" applyNumberFormat="1" applyAlignment="1">
      <alignment horizontal="right"/>
    </xf>
    <xf numFmtId="10" fontId="8" fillId="0" borderId="0" xfId="60" applyNumberFormat="1" applyAlignment="1">
      <alignment horizontal="right"/>
    </xf>
    <xf numFmtId="0" fontId="0" fillId="0" borderId="0" xfId="0" applyFill="1"/>
    <xf numFmtId="0" fontId="1" fillId="3" borderId="0" xfId="1" applyNumberFormat="1" applyBorder="1" applyAlignment="1"/>
    <xf numFmtId="175" fontId="8" fillId="0" borderId="2" xfId="60" applyNumberFormat="1" applyBorder="1" applyAlignment="1">
      <alignment horizontal="right"/>
    </xf>
    <xf numFmtId="175" fontId="8" fillId="0" borderId="3" xfId="60" applyNumberFormat="1" applyBorder="1" applyAlignment="1">
      <alignment horizontal="right"/>
    </xf>
    <xf numFmtId="175" fontId="35" fillId="0" borderId="4" xfId="52" applyNumberFormat="1" applyBorder="1" applyAlignment="1">
      <alignment horizontal="right"/>
    </xf>
    <xf numFmtId="0" fontId="35" fillId="0" borderId="0" xfId="52" applyBorder="1" applyAlignment="1">
      <alignment horizontal="right"/>
    </xf>
    <xf numFmtId="0" fontId="7" fillId="38" borderId="2" xfId="59" applyBorder="1" applyAlignment="1"/>
    <xf numFmtId="0" fontId="7" fillId="38" borderId="3" xfId="59" applyBorder="1" applyAlignment="1"/>
    <xf numFmtId="179" fontId="8" fillId="2" borderId="0" xfId="51" applyNumberFormat="1">
      <protection locked="0"/>
    </xf>
    <xf numFmtId="178" fontId="8" fillId="0" borderId="2" xfId="60" applyNumberFormat="1" applyBorder="1" applyAlignment="1"/>
    <xf numFmtId="176" fontId="8" fillId="0" borderId="0" xfId="60" applyNumberFormat="1" applyBorder="1" applyAlignment="1"/>
    <xf numFmtId="175" fontId="8" fillId="0" borderId="0" xfId="60" applyNumberFormat="1" applyBorder="1" applyAlignment="1"/>
    <xf numFmtId="0" fontId="8" fillId="0" borderId="0" xfId="60" applyNumberFormat="1" applyBorder="1" applyAlignment="1"/>
    <xf numFmtId="175" fontId="8" fillId="2" borderId="0" xfId="51" applyNumberFormat="1" applyBorder="1" applyProtection="1">
      <protection locked="0"/>
    </xf>
    <xf numFmtId="169" fontId="8" fillId="2" borderId="2" xfId="51" applyNumberFormat="1" applyBorder="1" applyProtection="1">
      <protection locked="0"/>
    </xf>
    <xf numFmtId="169" fontId="8" fillId="2" borderId="0" xfId="51" applyNumberFormat="1" applyProtection="1">
      <protection locked="0"/>
    </xf>
    <xf numFmtId="169" fontId="8" fillId="2" borderId="3" xfId="51" applyNumberFormat="1" applyBorder="1" applyProtection="1">
      <protection locked="0"/>
    </xf>
    <xf numFmtId="177" fontId="8" fillId="2" borderId="2" xfId="51" applyNumberFormat="1" applyBorder="1" applyProtection="1">
      <protection locked="0"/>
    </xf>
    <xf numFmtId="177" fontId="8" fillId="2" borderId="0" xfId="51" applyNumberFormat="1" applyBorder="1" applyProtection="1">
      <protection locked="0"/>
    </xf>
    <xf numFmtId="177" fontId="8" fillId="2" borderId="3" xfId="51" applyNumberFormat="1" applyBorder="1" applyProtection="1">
      <protection locked="0"/>
    </xf>
    <xf numFmtId="10" fontId="8" fillId="2" borderId="2" xfId="51" applyNumberFormat="1" applyBorder="1" applyProtection="1">
      <protection locked="0"/>
    </xf>
    <xf numFmtId="10" fontId="8" fillId="2" borderId="3" xfId="51" applyNumberFormat="1" applyBorder="1" applyProtection="1">
      <protection locked="0"/>
    </xf>
    <xf numFmtId="180" fontId="8" fillId="2" borderId="0" xfId="51" applyNumberFormat="1">
      <protection locked="0"/>
    </xf>
  </cellXfs>
  <cellStyles count="68">
    <cellStyle name="20% - Accent1" xfId="25" builtinId="30" hidden="1"/>
    <cellStyle name="20% - Accent2" xfId="29" builtinId="34" hidden="1"/>
    <cellStyle name="20% - Accent3" xfId="33" builtinId="38" hidden="1"/>
    <cellStyle name="20% - Accent4" xfId="37" builtinId="42" hidden="1"/>
    <cellStyle name="20% - Accent5" xfId="41" builtinId="46" hidden="1"/>
    <cellStyle name="20% - Accent6" xfId="45" builtinId="50" hidden="1"/>
    <cellStyle name="40% - Accent1" xfId="26" builtinId="31" hidden="1"/>
    <cellStyle name="40% - Accent2" xfId="30" builtinId="35" hidden="1"/>
    <cellStyle name="40% - Accent3" xfId="34" builtinId="39" hidden="1"/>
    <cellStyle name="40% - Accent4" xfId="38" builtinId="43" hidden="1"/>
    <cellStyle name="40% - Accent5" xfId="42" builtinId="47" hidden="1"/>
    <cellStyle name="40% - Accent6" xfId="46" builtinId="51" hidden="1"/>
    <cellStyle name="60% - Accent1" xfId="27" builtinId="32" hidden="1"/>
    <cellStyle name="60% - Accent2" xfId="31" builtinId="36" hidden="1"/>
    <cellStyle name="60% - Accent3" xfId="35" builtinId="40" hidden="1"/>
    <cellStyle name="60% - Accent4" xfId="39" builtinId="44" hidden="1"/>
    <cellStyle name="60% - Accent5" xfId="43" builtinId="48" hidden="1"/>
    <cellStyle name="60% - Accent6" xfId="47" builtinId="52" hidden="1"/>
    <cellStyle name="Accent1" xfId="24" builtinId="29" hidden="1"/>
    <cellStyle name="Accent2" xfId="28" builtinId="33" hidden="1"/>
    <cellStyle name="Accent3" xfId="32" builtinId="37" hidden="1"/>
    <cellStyle name="Accent4" xfId="36" builtinId="41" hidden="1"/>
    <cellStyle name="Accent5" xfId="40" builtinId="45" hidden="1"/>
    <cellStyle name="Accent6" xfId="44" builtinId="49" hidden="1"/>
    <cellStyle name="Annotation_CEPATNEI" xfId="58" xr:uid="{00000000-0005-0000-0000-000018000000}"/>
    <cellStyle name="Bad" xfId="61" builtinId="27" hidden="1"/>
    <cellStyle name="Bad" xfId="13" builtinId="27" hidden="1"/>
    <cellStyle name="Blank_CEPATNEI" xfId="55" xr:uid="{00000000-0005-0000-0000-00001B000000}"/>
    <cellStyle name="Calculation" xfId="17" builtinId="22" hidden="1"/>
    <cellStyle name="Calculation_CEPATNEI" xfId="60" xr:uid="{00000000-0005-0000-0000-00001D000000}"/>
    <cellStyle name="Check Cell" xfId="19" builtinId="23" hidden="1"/>
    <cellStyle name="ColumnHeading_CEPATNEI" xfId="1" xr:uid="{00000000-0005-0000-0000-00001F000000}"/>
    <cellStyle name="Comma" xfId="57" builtinId="3" hidden="1"/>
    <cellStyle name="Comma" xfId="2" builtinId="3" hidden="1"/>
    <cellStyle name="Comma [0]" xfId="3" builtinId="6" hidden="1"/>
    <cellStyle name="Currency" xfId="4" builtinId="4" hidden="1"/>
    <cellStyle name="Currency [0]" xfId="5" builtinId="7" hidden="1"/>
    <cellStyle name="EmptyCell_CEPATNEI" xfId="64" xr:uid="{00000000-0005-0000-0000-000025000000}"/>
    <cellStyle name="Explanatory Text" xfId="22" builtinId="53" hidden="1"/>
    <cellStyle name="Fixed_CEPATNEI" xfId="59" xr:uid="{00000000-0005-0000-0000-000027000000}"/>
    <cellStyle name="Followed Hyperlink 2" xfId="67" xr:uid="{00000000-0005-0000-0000-000028000000}"/>
    <cellStyle name="Good" xfId="12" builtinId="26" hidden="1"/>
    <cellStyle name="Heading 1" xfId="8" builtinId="16" hidden="1"/>
    <cellStyle name="Heading 2" xfId="9" builtinId="17" hidden="1"/>
    <cellStyle name="Heading 3" xfId="10" builtinId="18" hidden="1"/>
    <cellStyle name="Heading 4" xfId="11" builtinId="19" hidden="1"/>
    <cellStyle name="Hyperlink" xfId="54" builtinId="8"/>
    <cellStyle name="Hyperlink 2" xfId="66" xr:uid="{00000000-0005-0000-0000-00002F000000}"/>
    <cellStyle name="Input" xfId="15" builtinId="20" hidden="1"/>
    <cellStyle name="Input_CEPATNEI" xfId="51" xr:uid="{00000000-0005-0000-0000-000031000000}"/>
    <cellStyle name="Linked Cell" xfId="18" builtinId="24" hidden="1"/>
    <cellStyle name="LinkedTo_CEPATNEI" xfId="52" xr:uid="{00000000-0005-0000-0000-000033000000}"/>
    <cellStyle name="LinksFrom_CEPATNEI" xfId="56" xr:uid="{00000000-0005-0000-0000-000034000000}"/>
    <cellStyle name="Neutral" xfId="63" builtinId="28" hidden="1"/>
    <cellStyle name="Neutral" xfId="14" builtinId="28" hidden="1"/>
    <cellStyle name="Normal" xfId="0" builtinId="0" customBuiltin="1"/>
    <cellStyle name="Note" xfId="21" builtinId="10" hidden="1"/>
    <cellStyle name="Output" xfId="16" builtinId="21" hidden="1"/>
    <cellStyle name="Output_CEPATNEI" xfId="65" xr:uid="{00000000-0005-0000-0000-00003A000000}"/>
    <cellStyle name="Percent" xfId="62" builtinId="5" hidden="1"/>
    <cellStyle name="Percent" xfId="6" builtinId="5" hidden="1"/>
    <cellStyle name="RowHeading_CEPATNEI" xfId="53" xr:uid="{00000000-0005-0000-0000-00003D000000}"/>
    <cellStyle name="SectionHeading_CEPATNEI" xfId="49" xr:uid="{00000000-0005-0000-0000-00003E000000}"/>
    <cellStyle name="SubSection_CEPATNEI" xfId="48" xr:uid="{00000000-0005-0000-0000-00003F000000}"/>
    <cellStyle name="Text_CEPATNEI" xfId="50" xr:uid="{00000000-0005-0000-0000-000040000000}"/>
    <cellStyle name="Title" xfId="7" builtinId="15" hidden="1"/>
    <cellStyle name="Total" xfId="23" builtinId="25" hidden="1"/>
    <cellStyle name="Warning Text" xfId="20" builtinId="11" hidden="1"/>
  </cellStyles>
  <dxfs count="255">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s>
  <tableStyles count="0" defaultTableStyle="TableStyleMedium2" defaultPivotStyle="PivotStyleLight16"/>
  <colors>
    <mruColors>
      <color rgb="FFD086CC"/>
      <color rgb="FFFF9999"/>
      <color rgb="FFFF4343"/>
      <color rgb="FFFFAFAF"/>
      <color rgb="FF333F4F"/>
      <color rgb="FFF1DBF0"/>
      <color rgb="FF92D2EE"/>
      <color rgb="FF4B86CD"/>
      <color rgb="FF275792"/>
      <color rgb="FFFFE28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35"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8" Type="http://schemas.openxmlformats.org/officeDocument/2006/relationships/hyperlink" Target="#'Fixed charges'!A1"/><Relationship Id="rId13" Type="http://schemas.openxmlformats.org/officeDocument/2006/relationships/hyperlink" Target="#'Model map'!A1"/><Relationship Id="rId18" Type="http://schemas.openxmlformats.org/officeDocument/2006/relationships/hyperlink" Target="#'Inputs by network level'!A1"/><Relationship Id="rId26" Type="http://schemas.openxmlformats.org/officeDocument/2006/relationships/hyperlink" Target="#'Service model charges'!A1"/><Relationship Id="rId3" Type="http://schemas.openxmlformats.org/officeDocument/2006/relationships/hyperlink" Target="#'Customer contributions'!A1"/><Relationship Id="rId21" Type="http://schemas.openxmlformats.org/officeDocument/2006/relationships/hyperlink" Target="#'Inputs by customer type'!A1"/><Relationship Id="rId7" Type="http://schemas.openxmlformats.org/officeDocument/2006/relationships/hyperlink" Target="#'Capacity charges'!A1"/><Relationship Id="rId12" Type="http://schemas.openxmlformats.org/officeDocument/2006/relationships/hyperlink" Target="#'Version control'!A1"/><Relationship Id="rId17" Type="http://schemas.openxmlformats.org/officeDocument/2006/relationships/hyperlink" Target="#'General inputs'!A1"/><Relationship Id="rId25" Type="http://schemas.openxmlformats.org/officeDocument/2006/relationships/hyperlink" Target="#'Unit costs'!A1"/><Relationship Id="rId2" Type="http://schemas.openxmlformats.org/officeDocument/2006/relationships/hyperlink" Target="#'Service model assets'!A1"/><Relationship Id="rId16" Type="http://schemas.openxmlformats.org/officeDocument/2006/relationships/hyperlink" Target="#'Fixed inputs'!A1"/><Relationship Id="rId20" Type="http://schemas.openxmlformats.org/officeDocument/2006/relationships/hyperlink" Target="#'Named ranges'!A1"/><Relationship Id="rId29" Type="http://schemas.openxmlformats.org/officeDocument/2006/relationships/hyperlink" Target="#'Fixed charge adder'!A1"/><Relationship Id="rId1" Type="http://schemas.openxmlformats.org/officeDocument/2006/relationships/hyperlink" Target="#'Initial unit rates'!A1"/><Relationship Id="rId6" Type="http://schemas.openxmlformats.org/officeDocument/2006/relationships/hyperlink" Target="#'Unit rate charges'!A1"/><Relationship Id="rId11" Type="http://schemas.openxmlformats.org/officeDocument/2006/relationships/hyperlink" Target="#Cover!A1"/><Relationship Id="rId24" Type="http://schemas.openxmlformats.org/officeDocument/2006/relationships/hyperlink" Target="#'System peak demand'!A1"/><Relationship Id="rId5" Type="http://schemas.openxmlformats.org/officeDocument/2006/relationships/hyperlink" Target="#'Pseudo-load coefficients'!A1"/><Relationship Id="rId15" Type="http://schemas.openxmlformats.org/officeDocument/2006/relationships/hyperlink" Target="#Rounding!A1"/><Relationship Id="rId23" Type="http://schemas.openxmlformats.org/officeDocument/2006/relationships/hyperlink" Target="#'Load &amp; loss characteristics'!A1"/><Relationship Id="rId28" Type="http://schemas.openxmlformats.org/officeDocument/2006/relationships/hyperlink" Target="#'Net revenue summary'!A1"/><Relationship Id="rId10" Type="http://schemas.openxmlformats.org/officeDocument/2006/relationships/hyperlink" Target="#'Tariff summary'!A1"/><Relationship Id="rId19" Type="http://schemas.openxmlformats.org/officeDocument/2006/relationships/hyperlink" Target="#Index!A1"/><Relationship Id="rId4" Type="http://schemas.openxmlformats.org/officeDocument/2006/relationships/hyperlink" Target="#'Volume adjustments'!A1"/><Relationship Id="rId9" Type="http://schemas.openxmlformats.org/officeDocument/2006/relationships/hyperlink" Target="#'Reactive power charges'!A1"/><Relationship Id="rId14" Type="http://schemas.openxmlformats.org/officeDocument/2006/relationships/hyperlink" Target="#'Revenue matching'!A1"/><Relationship Id="rId22" Type="http://schemas.openxmlformats.org/officeDocument/2006/relationships/hyperlink" Target="#'Standing Charge Factors'!A1"/><Relationship Id="rId27" Type="http://schemas.openxmlformats.org/officeDocument/2006/relationships/hyperlink" Target="#'Output to other models'!A1"/></Relationships>
</file>

<file path=xl/drawings/drawing1.xml><?xml version="1.0" encoding="utf-8"?>
<xdr:wsDr xmlns:xdr="http://schemas.openxmlformats.org/drawingml/2006/spreadsheetDrawing" xmlns:a="http://schemas.openxmlformats.org/drawingml/2006/main">
  <xdr:twoCellAnchor editAs="oneCell">
    <xdr:from>
      <xdr:col>1</xdr:col>
      <xdr:colOff>10715</xdr:colOff>
      <xdr:row>1</xdr:row>
      <xdr:rowOff>0</xdr:rowOff>
    </xdr:from>
    <xdr:to>
      <xdr:col>1</xdr:col>
      <xdr:colOff>576262</xdr:colOff>
      <xdr:row>3</xdr:row>
      <xdr:rowOff>25713</xdr:rowOff>
    </xdr:to>
    <xdr:pic>
      <xdr:nvPicPr>
        <xdr:cNvPr id="4" name="Picture 3" descr="S:\Administration\Logos\CEPA\CEPA 4 squares only.bmp">
          <a:extLst>
            <a:ext uri="{FF2B5EF4-FFF2-40B4-BE49-F238E27FC236}">
              <a16:creationId xmlns:a16="http://schemas.microsoft.com/office/drawing/2014/main" id="{4E92DAD1-BA72-4052-9615-69264D9714B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9309" y="190500"/>
          <a:ext cx="565547" cy="5734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101201</xdr:rowOff>
    </xdr:from>
    <xdr:to>
      <xdr:col>1</xdr:col>
      <xdr:colOff>701278</xdr:colOff>
      <xdr:row>4</xdr:row>
      <xdr:rowOff>97670</xdr:rowOff>
    </xdr:to>
    <xdr:pic>
      <xdr:nvPicPr>
        <xdr:cNvPr id="7" name="Picture 6" descr="Image result for tnei">
          <a:extLst>
            <a:ext uri="{FF2B5EF4-FFF2-40B4-BE49-F238E27FC236}">
              <a16:creationId xmlns:a16="http://schemas.microsoft.com/office/drawing/2014/main" id="{E5AF8E0B-C597-4F05-9DDE-E6B6DFB8B73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78594" y="839389"/>
          <a:ext cx="701278" cy="2584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1098081</xdr:colOff>
      <xdr:row>39</xdr:row>
      <xdr:rowOff>71468</xdr:rowOff>
    </xdr:from>
    <xdr:to>
      <xdr:col>7</xdr:col>
      <xdr:colOff>1103757</xdr:colOff>
      <xdr:row>40</xdr:row>
      <xdr:rowOff>26336</xdr:rowOff>
    </xdr:to>
    <xdr:cxnSp macro="">
      <xdr:nvCxnSpPr>
        <xdr:cNvPr id="151" name="Straight Arrow Connector 150">
          <a:extLst>
            <a:ext uri="{FF2B5EF4-FFF2-40B4-BE49-F238E27FC236}">
              <a16:creationId xmlns:a16="http://schemas.microsoft.com/office/drawing/2014/main" id="{00000000-0008-0000-0300-000097000000}"/>
            </a:ext>
          </a:extLst>
        </xdr:cNvPr>
        <xdr:cNvCxnSpPr>
          <a:cxnSpLocks/>
          <a:stCxn id="177" idx="2"/>
          <a:endCxn id="141" idx="0"/>
        </xdr:cNvCxnSpPr>
      </xdr:nvCxnSpPr>
      <xdr:spPr>
        <a:xfrm flipH="1">
          <a:off x="4309367" y="7593497"/>
          <a:ext cx="5676" cy="139925"/>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1684922</xdr:colOff>
      <xdr:row>39</xdr:row>
      <xdr:rowOff>61911</xdr:rowOff>
    </xdr:from>
    <xdr:to>
      <xdr:col>8</xdr:col>
      <xdr:colOff>1691471</xdr:colOff>
      <xdr:row>43</xdr:row>
      <xdr:rowOff>153527</xdr:rowOff>
    </xdr:to>
    <xdr:cxnSp macro="">
      <xdr:nvCxnSpPr>
        <xdr:cNvPr id="152" name="Straight Arrow Connector 151">
          <a:extLst>
            <a:ext uri="{FF2B5EF4-FFF2-40B4-BE49-F238E27FC236}">
              <a16:creationId xmlns:a16="http://schemas.microsoft.com/office/drawing/2014/main" id="{00000000-0008-0000-0300-000098000000}"/>
            </a:ext>
          </a:extLst>
        </xdr:cNvPr>
        <xdr:cNvCxnSpPr>
          <a:cxnSpLocks/>
          <a:stCxn id="178" idx="2"/>
          <a:endCxn id="147" idx="0"/>
        </xdr:cNvCxnSpPr>
      </xdr:nvCxnSpPr>
      <xdr:spPr>
        <a:xfrm>
          <a:off x="6659693" y="7583940"/>
          <a:ext cx="6549" cy="864501"/>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5</xdr:col>
      <xdr:colOff>483501</xdr:colOff>
      <xdr:row>16</xdr:row>
      <xdr:rowOff>168261</xdr:rowOff>
    </xdr:from>
    <xdr:to>
      <xdr:col>8</xdr:col>
      <xdr:colOff>4517518</xdr:colOff>
      <xdr:row>49</xdr:row>
      <xdr:rowOff>20137</xdr:rowOff>
    </xdr:to>
    <xdr:sp macro="" textlink="">
      <xdr:nvSpPr>
        <xdr:cNvPr id="51" name="Rectangle 50">
          <a:extLst>
            <a:ext uri="{FF2B5EF4-FFF2-40B4-BE49-F238E27FC236}">
              <a16:creationId xmlns:a16="http://schemas.microsoft.com/office/drawing/2014/main" id="{00000000-0008-0000-0300-000033000000}"/>
            </a:ext>
          </a:extLst>
        </xdr:cNvPr>
        <xdr:cNvSpPr/>
      </xdr:nvSpPr>
      <xdr:spPr>
        <a:xfrm>
          <a:off x="1340751" y="3168636"/>
          <a:ext cx="8120242" cy="6071701"/>
        </a:xfrm>
        <a:prstGeom prst="rect">
          <a:avLst/>
        </a:prstGeom>
        <a:solidFill>
          <a:schemeClr val="accent5">
            <a:lumMod val="75000"/>
          </a:schemeClr>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Calculation sheets</a:t>
          </a:r>
        </a:p>
      </xdr:txBody>
    </xdr:sp>
    <xdr:clientData/>
  </xdr:twoCellAnchor>
  <xdr:twoCellAnchor>
    <xdr:from>
      <xdr:col>5</xdr:col>
      <xdr:colOff>688970</xdr:colOff>
      <xdr:row>26</xdr:row>
      <xdr:rowOff>57398</xdr:rowOff>
    </xdr:from>
    <xdr:to>
      <xdr:col>8</xdr:col>
      <xdr:colOff>4413389</xdr:colOff>
      <xdr:row>37</xdr:row>
      <xdr:rowOff>140685</xdr:rowOff>
    </xdr:to>
    <xdr:sp macro="" textlink="">
      <xdr:nvSpPr>
        <xdr:cNvPr id="52" name="Rectangle 51">
          <a:extLst>
            <a:ext uri="{FF2B5EF4-FFF2-40B4-BE49-F238E27FC236}">
              <a16:creationId xmlns:a16="http://schemas.microsoft.com/office/drawing/2014/main" id="{00000000-0008-0000-0300-000034000000}"/>
            </a:ext>
          </a:extLst>
        </xdr:cNvPr>
        <xdr:cNvSpPr/>
      </xdr:nvSpPr>
      <xdr:spPr>
        <a:xfrm>
          <a:off x="1546220" y="4962773"/>
          <a:ext cx="7810644" cy="2140687"/>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Calculation of charges before revenue matching</a:t>
          </a:r>
        </a:p>
      </xdr:txBody>
    </xdr:sp>
    <xdr:clientData/>
  </xdr:twoCellAnchor>
  <xdr:twoCellAnchor>
    <xdr:from>
      <xdr:col>5</xdr:col>
      <xdr:colOff>688970</xdr:colOff>
      <xdr:row>18</xdr:row>
      <xdr:rowOff>45024</xdr:rowOff>
    </xdr:from>
    <xdr:to>
      <xdr:col>8</xdr:col>
      <xdr:colOff>4413389</xdr:colOff>
      <xdr:row>25</xdr:row>
      <xdr:rowOff>181455</xdr:rowOff>
    </xdr:to>
    <xdr:sp macro="" textlink="">
      <xdr:nvSpPr>
        <xdr:cNvPr id="53" name="Rectangle 52">
          <a:extLst>
            <a:ext uri="{FF2B5EF4-FFF2-40B4-BE49-F238E27FC236}">
              <a16:creationId xmlns:a16="http://schemas.microsoft.com/office/drawing/2014/main" id="{00000000-0008-0000-0300-000035000000}"/>
            </a:ext>
          </a:extLst>
        </xdr:cNvPr>
        <xdr:cNvSpPr/>
      </xdr:nvSpPr>
      <xdr:spPr>
        <a:xfrm>
          <a:off x="1546220" y="3426399"/>
          <a:ext cx="7810644" cy="1469931"/>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Cost and volumes characteristics</a:t>
          </a:r>
        </a:p>
      </xdr:txBody>
    </xdr:sp>
    <xdr:clientData/>
  </xdr:twoCellAnchor>
  <xdr:twoCellAnchor>
    <xdr:from>
      <xdr:col>5</xdr:col>
      <xdr:colOff>688970</xdr:colOff>
      <xdr:row>38</xdr:row>
      <xdr:rowOff>58375</xdr:rowOff>
    </xdr:from>
    <xdr:to>
      <xdr:col>8</xdr:col>
      <xdr:colOff>4413389</xdr:colOff>
      <xdr:row>48</xdr:row>
      <xdr:rowOff>45380</xdr:rowOff>
    </xdr:to>
    <xdr:sp macro="" textlink="">
      <xdr:nvSpPr>
        <xdr:cNvPr id="54" name="Rectangle 53">
          <a:extLst>
            <a:ext uri="{FF2B5EF4-FFF2-40B4-BE49-F238E27FC236}">
              <a16:creationId xmlns:a16="http://schemas.microsoft.com/office/drawing/2014/main" id="{00000000-0008-0000-0300-000036000000}"/>
            </a:ext>
          </a:extLst>
        </xdr:cNvPr>
        <xdr:cNvSpPr/>
      </xdr:nvSpPr>
      <xdr:spPr>
        <a:xfrm>
          <a:off x="1546220" y="7202125"/>
          <a:ext cx="7810644" cy="1872955"/>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Revenue matching and rounding</a:t>
          </a:r>
        </a:p>
      </xdr:txBody>
    </xdr:sp>
    <xdr:clientData/>
  </xdr:twoCellAnchor>
  <xdr:twoCellAnchor>
    <xdr:from>
      <xdr:col>6</xdr:col>
      <xdr:colOff>118918</xdr:colOff>
      <xdr:row>30</xdr:row>
      <xdr:rowOff>161329</xdr:rowOff>
    </xdr:from>
    <xdr:to>
      <xdr:col>7</xdr:col>
      <xdr:colOff>1371696</xdr:colOff>
      <xdr:row>33</xdr:row>
      <xdr:rowOff>31347</xdr:rowOff>
    </xdr:to>
    <xdr:sp macro="" textlink="">
      <xdr:nvSpPr>
        <xdr:cNvPr id="55" name="Rectangle 54">
          <a:hlinkClick xmlns:r="http://schemas.openxmlformats.org/officeDocument/2006/relationships" r:id="rId1"/>
          <a:extLst>
            <a:ext uri="{FF2B5EF4-FFF2-40B4-BE49-F238E27FC236}">
              <a16:creationId xmlns:a16="http://schemas.microsoft.com/office/drawing/2014/main" id="{00000000-0008-0000-0300-000037000000}"/>
            </a:ext>
          </a:extLst>
        </xdr:cNvPr>
        <xdr:cNvSpPr/>
      </xdr:nvSpPr>
      <xdr:spPr>
        <a:xfrm>
          <a:off x="3109768" y="5828704"/>
          <a:ext cx="1424228" cy="441518"/>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Initial unit rates</a:t>
          </a:r>
        </a:p>
      </xdr:txBody>
    </xdr:sp>
    <xdr:clientData/>
  </xdr:twoCellAnchor>
  <xdr:twoCellAnchor>
    <xdr:from>
      <xdr:col>8</xdr:col>
      <xdr:colOff>1401426</xdr:colOff>
      <xdr:row>22</xdr:row>
      <xdr:rowOff>125896</xdr:rowOff>
    </xdr:from>
    <xdr:to>
      <xdr:col>8</xdr:col>
      <xdr:colOff>2832952</xdr:colOff>
      <xdr:row>24</xdr:row>
      <xdr:rowOff>178326</xdr:rowOff>
    </xdr:to>
    <xdr:sp macro="" textlink="">
      <xdr:nvSpPr>
        <xdr:cNvPr id="56" name="Rectangle 55">
          <a:hlinkClick xmlns:r="http://schemas.openxmlformats.org/officeDocument/2006/relationships" r:id="rId2"/>
          <a:extLst>
            <a:ext uri="{FF2B5EF4-FFF2-40B4-BE49-F238E27FC236}">
              <a16:creationId xmlns:a16="http://schemas.microsoft.com/office/drawing/2014/main" id="{00000000-0008-0000-0300-000038000000}"/>
            </a:ext>
          </a:extLst>
        </xdr:cNvPr>
        <xdr:cNvSpPr/>
      </xdr:nvSpPr>
      <xdr:spPr>
        <a:xfrm>
          <a:off x="6344901" y="4269271"/>
          <a:ext cx="1431526"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Service model assets</a:t>
          </a:r>
        </a:p>
      </xdr:txBody>
    </xdr:sp>
    <xdr:clientData/>
  </xdr:twoCellAnchor>
  <xdr:twoCellAnchor>
    <xdr:from>
      <xdr:col>8</xdr:col>
      <xdr:colOff>631283</xdr:colOff>
      <xdr:row>19</xdr:row>
      <xdr:rowOff>188217</xdr:rowOff>
    </xdr:from>
    <xdr:to>
      <xdr:col>8</xdr:col>
      <xdr:colOff>2051520</xdr:colOff>
      <xdr:row>22</xdr:row>
      <xdr:rowOff>55444</xdr:rowOff>
    </xdr:to>
    <xdr:sp macro="" textlink="">
      <xdr:nvSpPr>
        <xdr:cNvPr id="57" name="Rectangle 56">
          <a:hlinkClick xmlns:r="http://schemas.openxmlformats.org/officeDocument/2006/relationships" r:id="rId3"/>
          <a:extLst>
            <a:ext uri="{FF2B5EF4-FFF2-40B4-BE49-F238E27FC236}">
              <a16:creationId xmlns:a16="http://schemas.microsoft.com/office/drawing/2014/main" id="{00000000-0008-0000-0300-000039000000}"/>
            </a:ext>
          </a:extLst>
        </xdr:cNvPr>
        <xdr:cNvSpPr/>
      </xdr:nvSpPr>
      <xdr:spPr>
        <a:xfrm>
          <a:off x="5574758" y="3760092"/>
          <a:ext cx="1420237"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Customer contributions</a:t>
          </a:r>
        </a:p>
      </xdr:txBody>
    </xdr:sp>
    <xdr:clientData/>
  </xdr:twoCellAnchor>
  <xdr:twoCellAnchor>
    <xdr:from>
      <xdr:col>8</xdr:col>
      <xdr:colOff>2128802</xdr:colOff>
      <xdr:row>19</xdr:row>
      <xdr:rowOff>188217</xdr:rowOff>
    </xdr:from>
    <xdr:to>
      <xdr:col>8</xdr:col>
      <xdr:colOff>3550785</xdr:colOff>
      <xdr:row>22</xdr:row>
      <xdr:rowOff>55444</xdr:rowOff>
    </xdr:to>
    <xdr:sp macro="" textlink="">
      <xdr:nvSpPr>
        <xdr:cNvPr id="58" name="Rectangle 57">
          <a:hlinkClick xmlns:r="http://schemas.openxmlformats.org/officeDocument/2006/relationships" r:id="rId4"/>
          <a:extLst>
            <a:ext uri="{FF2B5EF4-FFF2-40B4-BE49-F238E27FC236}">
              <a16:creationId xmlns:a16="http://schemas.microsoft.com/office/drawing/2014/main" id="{00000000-0008-0000-0300-00003A000000}"/>
            </a:ext>
          </a:extLst>
        </xdr:cNvPr>
        <xdr:cNvSpPr/>
      </xdr:nvSpPr>
      <xdr:spPr>
        <a:xfrm>
          <a:off x="7072277" y="3760092"/>
          <a:ext cx="1421983"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Volume adjustments</a:t>
          </a:r>
        </a:p>
      </xdr:txBody>
    </xdr:sp>
    <xdr:clientData/>
  </xdr:twoCellAnchor>
  <xdr:twoCellAnchor>
    <xdr:from>
      <xdr:col>7</xdr:col>
      <xdr:colOff>1638438</xdr:colOff>
      <xdr:row>22</xdr:row>
      <xdr:rowOff>125895</xdr:rowOff>
    </xdr:from>
    <xdr:to>
      <xdr:col>8</xdr:col>
      <xdr:colOff>1328161</xdr:colOff>
      <xdr:row>24</xdr:row>
      <xdr:rowOff>178325</xdr:rowOff>
    </xdr:to>
    <xdr:sp macro="" textlink="">
      <xdr:nvSpPr>
        <xdr:cNvPr id="59" name="Rectangle 58">
          <a:hlinkClick xmlns:r="http://schemas.openxmlformats.org/officeDocument/2006/relationships" r:id="rId5"/>
          <a:extLst>
            <a:ext uri="{FF2B5EF4-FFF2-40B4-BE49-F238E27FC236}">
              <a16:creationId xmlns:a16="http://schemas.microsoft.com/office/drawing/2014/main" id="{00000000-0008-0000-0300-00003B000000}"/>
            </a:ext>
          </a:extLst>
        </xdr:cNvPr>
        <xdr:cNvSpPr/>
      </xdr:nvSpPr>
      <xdr:spPr>
        <a:xfrm>
          <a:off x="4800738" y="4269270"/>
          <a:ext cx="1470898"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Pseudo-load coefficients</a:t>
          </a:r>
        </a:p>
      </xdr:txBody>
    </xdr:sp>
    <xdr:clientData/>
  </xdr:twoCellAnchor>
  <xdr:twoCellAnchor>
    <xdr:from>
      <xdr:col>5</xdr:col>
      <xdr:colOff>1511138</xdr:colOff>
      <xdr:row>34</xdr:row>
      <xdr:rowOff>100943</xdr:rowOff>
    </xdr:from>
    <xdr:to>
      <xdr:col>7</xdr:col>
      <xdr:colOff>621802</xdr:colOff>
      <xdr:row>37</xdr:row>
      <xdr:rowOff>1033</xdr:rowOff>
    </xdr:to>
    <xdr:sp macro="" textlink="">
      <xdr:nvSpPr>
        <xdr:cNvPr id="60" name="Rectangle 59">
          <a:hlinkClick xmlns:r="http://schemas.openxmlformats.org/officeDocument/2006/relationships" r:id="rId6"/>
          <a:extLst>
            <a:ext uri="{FF2B5EF4-FFF2-40B4-BE49-F238E27FC236}">
              <a16:creationId xmlns:a16="http://schemas.microsoft.com/office/drawing/2014/main" id="{00000000-0008-0000-0300-00003C000000}"/>
            </a:ext>
          </a:extLst>
        </xdr:cNvPr>
        <xdr:cNvSpPr/>
      </xdr:nvSpPr>
      <xdr:spPr>
        <a:xfrm>
          <a:off x="2368388" y="6520793"/>
          <a:ext cx="1415714" cy="44301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Unit rate charges</a:t>
          </a:r>
        </a:p>
      </xdr:txBody>
    </xdr:sp>
    <xdr:clientData/>
  </xdr:twoCellAnchor>
  <xdr:twoCellAnchor>
    <xdr:from>
      <xdr:col>8</xdr:col>
      <xdr:colOff>524697</xdr:colOff>
      <xdr:row>34</xdr:row>
      <xdr:rowOff>100943</xdr:rowOff>
    </xdr:from>
    <xdr:to>
      <xdr:col>8</xdr:col>
      <xdr:colOff>1956027</xdr:colOff>
      <xdr:row>37</xdr:row>
      <xdr:rowOff>1033</xdr:rowOff>
    </xdr:to>
    <xdr:sp macro="" textlink="">
      <xdr:nvSpPr>
        <xdr:cNvPr id="61" name="Rectangle 60">
          <a:hlinkClick xmlns:r="http://schemas.openxmlformats.org/officeDocument/2006/relationships" r:id="rId7"/>
          <a:extLst>
            <a:ext uri="{FF2B5EF4-FFF2-40B4-BE49-F238E27FC236}">
              <a16:creationId xmlns:a16="http://schemas.microsoft.com/office/drawing/2014/main" id="{00000000-0008-0000-0300-00003D000000}"/>
            </a:ext>
          </a:extLst>
        </xdr:cNvPr>
        <xdr:cNvSpPr/>
      </xdr:nvSpPr>
      <xdr:spPr>
        <a:xfrm>
          <a:off x="5468172" y="6520793"/>
          <a:ext cx="1431330" cy="44301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Capacity charges</a:t>
          </a:r>
        </a:p>
      </xdr:txBody>
    </xdr:sp>
    <xdr:clientData/>
  </xdr:twoCellAnchor>
  <xdr:twoCellAnchor>
    <xdr:from>
      <xdr:col>8</xdr:col>
      <xdr:colOff>2084913</xdr:colOff>
      <xdr:row>34</xdr:row>
      <xdr:rowOff>95540</xdr:rowOff>
    </xdr:from>
    <xdr:to>
      <xdr:col>8</xdr:col>
      <xdr:colOff>3516244</xdr:colOff>
      <xdr:row>37</xdr:row>
      <xdr:rowOff>6435</xdr:rowOff>
    </xdr:to>
    <xdr:sp macro="" textlink="">
      <xdr:nvSpPr>
        <xdr:cNvPr id="62" name="Rectangle 61">
          <a:hlinkClick xmlns:r="http://schemas.openxmlformats.org/officeDocument/2006/relationships" r:id="rId8"/>
          <a:extLst>
            <a:ext uri="{FF2B5EF4-FFF2-40B4-BE49-F238E27FC236}">
              <a16:creationId xmlns:a16="http://schemas.microsoft.com/office/drawing/2014/main" id="{00000000-0008-0000-0300-00003E000000}"/>
            </a:ext>
          </a:extLst>
        </xdr:cNvPr>
        <xdr:cNvSpPr/>
      </xdr:nvSpPr>
      <xdr:spPr>
        <a:xfrm>
          <a:off x="7028388" y="6515390"/>
          <a:ext cx="1431331" cy="45382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charges</a:t>
          </a:r>
        </a:p>
      </xdr:txBody>
    </xdr:sp>
    <xdr:clientData/>
  </xdr:twoCellAnchor>
  <xdr:twoCellAnchor>
    <xdr:from>
      <xdr:col>7</xdr:col>
      <xdr:colOff>750689</xdr:colOff>
      <xdr:row>34</xdr:row>
      <xdr:rowOff>98189</xdr:rowOff>
    </xdr:from>
    <xdr:to>
      <xdr:col>8</xdr:col>
      <xdr:colOff>395810</xdr:colOff>
      <xdr:row>37</xdr:row>
      <xdr:rowOff>3786</xdr:rowOff>
    </xdr:to>
    <xdr:sp macro="" textlink="">
      <xdr:nvSpPr>
        <xdr:cNvPr id="63" name="Rectangle 62">
          <a:hlinkClick xmlns:r="http://schemas.openxmlformats.org/officeDocument/2006/relationships" r:id="rId9"/>
          <a:extLst>
            <a:ext uri="{FF2B5EF4-FFF2-40B4-BE49-F238E27FC236}">
              <a16:creationId xmlns:a16="http://schemas.microsoft.com/office/drawing/2014/main" id="{00000000-0008-0000-0300-00003F000000}"/>
            </a:ext>
          </a:extLst>
        </xdr:cNvPr>
        <xdr:cNvSpPr/>
      </xdr:nvSpPr>
      <xdr:spPr>
        <a:xfrm>
          <a:off x="3912989" y="6518039"/>
          <a:ext cx="1426296" cy="448522"/>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Reactive power charges</a:t>
          </a:r>
        </a:p>
      </xdr:txBody>
    </xdr:sp>
    <xdr:clientData/>
  </xdr:twoCellAnchor>
  <xdr:twoCellAnchor>
    <xdr:from>
      <xdr:col>6</xdr:col>
      <xdr:colOff>81302</xdr:colOff>
      <xdr:row>33</xdr:row>
      <xdr:rowOff>31348</xdr:rowOff>
    </xdr:from>
    <xdr:to>
      <xdr:col>7</xdr:col>
      <xdr:colOff>661628</xdr:colOff>
      <xdr:row>34</xdr:row>
      <xdr:rowOff>100943</xdr:rowOff>
    </xdr:to>
    <xdr:cxnSp macro="">
      <xdr:nvCxnSpPr>
        <xdr:cNvPr id="64" name="Straight Arrow Connector 63">
          <a:extLst>
            <a:ext uri="{FF2B5EF4-FFF2-40B4-BE49-F238E27FC236}">
              <a16:creationId xmlns:a16="http://schemas.microsoft.com/office/drawing/2014/main" id="{00000000-0008-0000-0300-000040000000}"/>
            </a:ext>
          </a:extLst>
        </xdr:cNvPr>
        <xdr:cNvCxnSpPr>
          <a:stCxn id="55" idx="2"/>
          <a:endCxn id="60" idx="0"/>
        </xdr:cNvCxnSpPr>
      </xdr:nvCxnSpPr>
      <xdr:spPr>
        <a:xfrm flipH="1">
          <a:off x="3072152" y="6270223"/>
          <a:ext cx="751776" cy="250570"/>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661628</xdr:colOff>
      <xdr:row>30</xdr:row>
      <xdr:rowOff>18419</xdr:rowOff>
    </xdr:from>
    <xdr:to>
      <xdr:col>7</xdr:col>
      <xdr:colOff>667324</xdr:colOff>
      <xdr:row>30</xdr:row>
      <xdr:rowOff>161329</xdr:rowOff>
    </xdr:to>
    <xdr:cxnSp macro="">
      <xdr:nvCxnSpPr>
        <xdr:cNvPr id="65" name="Straight Arrow Connector 64">
          <a:extLst>
            <a:ext uri="{FF2B5EF4-FFF2-40B4-BE49-F238E27FC236}">
              <a16:creationId xmlns:a16="http://schemas.microsoft.com/office/drawing/2014/main" id="{00000000-0008-0000-0300-000041000000}"/>
            </a:ext>
          </a:extLst>
        </xdr:cNvPr>
        <xdr:cNvCxnSpPr>
          <a:cxnSpLocks/>
          <a:stCxn id="91" idx="2"/>
          <a:endCxn id="55" idx="0"/>
        </xdr:cNvCxnSpPr>
      </xdr:nvCxnSpPr>
      <xdr:spPr>
        <a:xfrm flipH="1">
          <a:off x="3823928" y="5685794"/>
          <a:ext cx="5696" cy="142910"/>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1240265</xdr:colOff>
      <xdr:row>30</xdr:row>
      <xdr:rowOff>9165</xdr:rowOff>
    </xdr:from>
    <xdr:to>
      <xdr:col>8</xdr:col>
      <xdr:colOff>1240363</xdr:colOff>
      <xdr:row>34</xdr:row>
      <xdr:rowOff>100943</xdr:rowOff>
    </xdr:to>
    <xdr:cxnSp macro="">
      <xdr:nvCxnSpPr>
        <xdr:cNvPr id="66" name="Straight Arrow Connector 65">
          <a:extLst>
            <a:ext uri="{FF2B5EF4-FFF2-40B4-BE49-F238E27FC236}">
              <a16:creationId xmlns:a16="http://schemas.microsoft.com/office/drawing/2014/main" id="{00000000-0008-0000-0300-000042000000}"/>
            </a:ext>
          </a:extLst>
        </xdr:cNvPr>
        <xdr:cNvCxnSpPr>
          <a:cxnSpLocks/>
          <a:stCxn id="92" idx="2"/>
          <a:endCxn id="61" idx="0"/>
        </xdr:cNvCxnSpPr>
      </xdr:nvCxnSpPr>
      <xdr:spPr>
        <a:xfrm>
          <a:off x="6183740" y="5676540"/>
          <a:ext cx="98" cy="844253"/>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1956027</xdr:colOff>
      <xdr:row>35</xdr:row>
      <xdr:rowOff>141475</xdr:rowOff>
    </xdr:from>
    <xdr:to>
      <xdr:col>8</xdr:col>
      <xdr:colOff>2084913</xdr:colOff>
      <xdr:row>35</xdr:row>
      <xdr:rowOff>141476</xdr:rowOff>
    </xdr:to>
    <xdr:cxnSp macro="">
      <xdr:nvCxnSpPr>
        <xdr:cNvPr id="67" name="Straight Arrow Connector 66">
          <a:extLst>
            <a:ext uri="{FF2B5EF4-FFF2-40B4-BE49-F238E27FC236}">
              <a16:creationId xmlns:a16="http://schemas.microsoft.com/office/drawing/2014/main" id="{00000000-0008-0000-0300-000043000000}"/>
            </a:ext>
          </a:extLst>
        </xdr:cNvPr>
        <xdr:cNvCxnSpPr>
          <a:cxnSpLocks/>
          <a:stCxn id="61" idx="3"/>
          <a:endCxn id="62" idx="1"/>
        </xdr:cNvCxnSpPr>
      </xdr:nvCxnSpPr>
      <xdr:spPr>
        <a:xfrm flipV="1">
          <a:off x="6899502" y="6742300"/>
          <a:ext cx="128886" cy="1"/>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661628</xdr:colOff>
      <xdr:row>33</xdr:row>
      <xdr:rowOff>31348</xdr:rowOff>
    </xdr:from>
    <xdr:to>
      <xdr:col>7</xdr:col>
      <xdr:colOff>1463155</xdr:colOff>
      <xdr:row>34</xdr:row>
      <xdr:rowOff>98189</xdr:rowOff>
    </xdr:to>
    <xdr:cxnSp macro="">
      <xdr:nvCxnSpPr>
        <xdr:cNvPr id="68" name="Straight Arrow Connector 67">
          <a:extLst>
            <a:ext uri="{FF2B5EF4-FFF2-40B4-BE49-F238E27FC236}">
              <a16:creationId xmlns:a16="http://schemas.microsoft.com/office/drawing/2014/main" id="{00000000-0008-0000-0300-000044000000}"/>
            </a:ext>
          </a:extLst>
        </xdr:cNvPr>
        <xdr:cNvCxnSpPr>
          <a:stCxn id="55" idx="2"/>
          <a:endCxn id="63" idx="0"/>
        </xdr:cNvCxnSpPr>
      </xdr:nvCxnSpPr>
      <xdr:spPr>
        <a:xfrm>
          <a:off x="3823928" y="6270223"/>
          <a:ext cx="801527" cy="247816"/>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5</xdr:col>
      <xdr:colOff>484256</xdr:colOff>
      <xdr:row>50</xdr:row>
      <xdr:rowOff>93635</xdr:rowOff>
    </xdr:from>
    <xdr:to>
      <xdr:col>8</xdr:col>
      <xdr:colOff>4523466</xdr:colOff>
      <xdr:row>54</xdr:row>
      <xdr:rowOff>101755</xdr:rowOff>
    </xdr:to>
    <xdr:sp macro="" textlink="">
      <xdr:nvSpPr>
        <xdr:cNvPr id="69" name="Rectangle 68">
          <a:extLst>
            <a:ext uri="{FF2B5EF4-FFF2-40B4-BE49-F238E27FC236}">
              <a16:creationId xmlns:a16="http://schemas.microsoft.com/office/drawing/2014/main" id="{00000000-0008-0000-0300-000045000000}"/>
            </a:ext>
          </a:extLst>
        </xdr:cNvPr>
        <xdr:cNvSpPr/>
      </xdr:nvSpPr>
      <xdr:spPr>
        <a:xfrm>
          <a:off x="1341506" y="9504335"/>
          <a:ext cx="8125435" cy="760595"/>
        </a:xfrm>
        <a:prstGeom prst="rect">
          <a:avLst/>
        </a:prstGeom>
        <a:solidFill>
          <a:schemeClr val="accent6"/>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Results sheets</a:t>
          </a:r>
        </a:p>
      </xdr:txBody>
    </xdr:sp>
    <xdr:clientData/>
  </xdr:twoCellAnchor>
  <xdr:twoCellAnchor>
    <xdr:from>
      <xdr:col>7</xdr:col>
      <xdr:colOff>717087</xdr:colOff>
      <xdr:row>51</xdr:row>
      <xdr:rowOff>31923</xdr:rowOff>
    </xdr:from>
    <xdr:to>
      <xdr:col>8</xdr:col>
      <xdr:colOff>354493</xdr:colOff>
      <xdr:row>53</xdr:row>
      <xdr:rowOff>79698</xdr:rowOff>
    </xdr:to>
    <xdr:sp macro="" textlink="">
      <xdr:nvSpPr>
        <xdr:cNvPr id="70" name="Rectangle 69">
          <a:hlinkClick xmlns:r="http://schemas.openxmlformats.org/officeDocument/2006/relationships" r:id="rId10"/>
          <a:extLst>
            <a:ext uri="{FF2B5EF4-FFF2-40B4-BE49-F238E27FC236}">
              <a16:creationId xmlns:a16="http://schemas.microsoft.com/office/drawing/2014/main" id="{00000000-0008-0000-0300-000046000000}"/>
            </a:ext>
          </a:extLst>
        </xdr:cNvPr>
        <xdr:cNvSpPr/>
      </xdr:nvSpPr>
      <xdr:spPr>
        <a:xfrm>
          <a:off x="3879387" y="9623598"/>
          <a:ext cx="1418581" cy="428775"/>
        </a:xfrm>
        <a:prstGeom prst="rect">
          <a:avLst/>
        </a:prstGeom>
        <a:solidFill>
          <a:schemeClr val="accent6">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Tariff summary</a:t>
          </a:r>
        </a:p>
      </xdr:txBody>
    </xdr:sp>
    <xdr:clientData/>
  </xdr:twoCellAnchor>
  <xdr:twoCellAnchor>
    <xdr:from>
      <xdr:col>5</xdr:col>
      <xdr:colOff>483501</xdr:colOff>
      <xdr:row>5</xdr:row>
      <xdr:rowOff>178071</xdr:rowOff>
    </xdr:from>
    <xdr:to>
      <xdr:col>8</xdr:col>
      <xdr:colOff>4517518</xdr:colOff>
      <xdr:row>10</xdr:row>
      <xdr:rowOff>59301</xdr:rowOff>
    </xdr:to>
    <xdr:sp macro="" textlink="">
      <xdr:nvSpPr>
        <xdr:cNvPr id="71" name="Rectangle 70">
          <a:extLst>
            <a:ext uri="{FF2B5EF4-FFF2-40B4-BE49-F238E27FC236}">
              <a16:creationId xmlns:a16="http://schemas.microsoft.com/office/drawing/2014/main" id="{00000000-0008-0000-0300-000047000000}"/>
            </a:ext>
          </a:extLst>
        </xdr:cNvPr>
        <xdr:cNvSpPr/>
      </xdr:nvSpPr>
      <xdr:spPr>
        <a:xfrm>
          <a:off x="1340751" y="1092471"/>
          <a:ext cx="8120242" cy="833730"/>
        </a:xfrm>
        <a:prstGeom prst="rect">
          <a:avLst/>
        </a:prstGeom>
        <a:solidFill>
          <a:schemeClr val="bg1">
            <a:lumMod val="50000"/>
          </a:schemeClr>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Information sheets</a:t>
          </a:r>
        </a:p>
      </xdr:txBody>
    </xdr:sp>
    <xdr:clientData/>
  </xdr:twoCellAnchor>
  <xdr:twoCellAnchor>
    <xdr:from>
      <xdr:col>5</xdr:col>
      <xdr:colOff>478294</xdr:colOff>
      <xdr:row>11</xdr:row>
      <xdr:rowOff>43127</xdr:rowOff>
    </xdr:from>
    <xdr:to>
      <xdr:col>8</xdr:col>
      <xdr:colOff>4512312</xdr:colOff>
      <xdr:row>15</xdr:row>
      <xdr:rowOff>128485</xdr:rowOff>
    </xdr:to>
    <xdr:sp macro="" textlink="">
      <xdr:nvSpPr>
        <xdr:cNvPr id="72" name="Rectangle 71">
          <a:extLst>
            <a:ext uri="{FF2B5EF4-FFF2-40B4-BE49-F238E27FC236}">
              <a16:creationId xmlns:a16="http://schemas.microsoft.com/office/drawing/2014/main" id="{00000000-0008-0000-0300-000048000000}"/>
            </a:ext>
          </a:extLst>
        </xdr:cNvPr>
        <xdr:cNvSpPr/>
      </xdr:nvSpPr>
      <xdr:spPr>
        <a:xfrm>
          <a:off x="1335544" y="2100527"/>
          <a:ext cx="8120243" cy="837833"/>
        </a:xfrm>
        <a:prstGeom prst="rect">
          <a:avLst/>
        </a:prstGeom>
        <a:solidFill>
          <a:schemeClr val="accent2"/>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Input sheets</a:t>
          </a:r>
        </a:p>
      </xdr:txBody>
    </xdr:sp>
    <xdr:clientData/>
  </xdr:twoCellAnchor>
  <xdr:twoCellAnchor>
    <xdr:from>
      <xdr:col>5</xdr:col>
      <xdr:colOff>806660</xdr:colOff>
      <xdr:row>7</xdr:row>
      <xdr:rowOff>83086</xdr:rowOff>
    </xdr:from>
    <xdr:to>
      <xdr:col>6</xdr:col>
      <xdr:colOff>68876</xdr:colOff>
      <xdr:row>9</xdr:row>
      <xdr:rowOff>114687</xdr:rowOff>
    </xdr:to>
    <xdr:sp macro="" textlink="">
      <xdr:nvSpPr>
        <xdr:cNvPr id="73" name="Rectangle 72">
          <a:hlinkClick xmlns:r="http://schemas.openxmlformats.org/officeDocument/2006/relationships" r:id="rId11"/>
          <a:extLst>
            <a:ext uri="{FF2B5EF4-FFF2-40B4-BE49-F238E27FC236}">
              <a16:creationId xmlns:a16="http://schemas.microsoft.com/office/drawing/2014/main" id="{00000000-0008-0000-0300-000049000000}"/>
            </a:ext>
          </a:extLst>
        </xdr:cNvPr>
        <xdr:cNvSpPr/>
      </xdr:nvSpPr>
      <xdr:spPr>
        <a:xfrm>
          <a:off x="1663910" y="1378486"/>
          <a:ext cx="1395816"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Cover</a:t>
          </a:r>
        </a:p>
      </xdr:txBody>
    </xdr:sp>
    <xdr:clientData/>
  </xdr:twoCellAnchor>
  <xdr:twoCellAnchor>
    <xdr:from>
      <xdr:col>6</xdr:col>
      <xdr:colOff>160343</xdr:colOff>
      <xdr:row>7</xdr:row>
      <xdr:rowOff>83086</xdr:rowOff>
    </xdr:from>
    <xdr:to>
      <xdr:col>7</xdr:col>
      <xdr:colOff>1406110</xdr:colOff>
      <xdr:row>9</xdr:row>
      <xdr:rowOff>114687</xdr:rowOff>
    </xdr:to>
    <xdr:sp macro="" textlink="">
      <xdr:nvSpPr>
        <xdr:cNvPr id="74" name="Rectangle 73">
          <a:hlinkClick xmlns:r="http://schemas.openxmlformats.org/officeDocument/2006/relationships" r:id="rId12"/>
          <a:extLst>
            <a:ext uri="{FF2B5EF4-FFF2-40B4-BE49-F238E27FC236}">
              <a16:creationId xmlns:a16="http://schemas.microsoft.com/office/drawing/2014/main" id="{00000000-0008-0000-0300-00004A000000}"/>
            </a:ext>
          </a:extLst>
        </xdr:cNvPr>
        <xdr:cNvSpPr/>
      </xdr:nvSpPr>
      <xdr:spPr>
        <a:xfrm>
          <a:off x="3151193" y="1378486"/>
          <a:ext cx="1417217"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Version control</a:t>
          </a:r>
        </a:p>
      </xdr:txBody>
    </xdr:sp>
    <xdr:clientData/>
  </xdr:twoCellAnchor>
  <xdr:twoCellAnchor>
    <xdr:from>
      <xdr:col>7</xdr:col>
      <xdr:colOff>1493484</xdr:colOff>
      <xdr:row>7</xdr:row>
      <xdr:rowOff>83086</xdr:rowOff>
    </xdr:from>
    <xdr:to>
      <xdr:col>8</xdr:col>
      <xdr:colOff>1146603</xdr:colOff>
      <xdr:row>9</xdr:row>
      <xdr:rowOff>114687</xdr:rowOff>
    </xdr:to>
    <xdr:sp macro="" textlink="">
      <xdr:nvSpPr>
        <xdr:cNvPr id="75" name="Rectangle 74">
          <a:hlinkClick xmlns:r="http://schemas.openxmlformats.org/officeDocument/2006/relationships" r:id="rId13"/>
          <a:extLst>
            <a:ext uri="{FF2B5EF4-FFF2-40B4-BE49-F238E27FC236}">
              <a16:creationId xmlns:a16="http://schemas.microsoft.com/office/drawing/2014/main" id="{00000000-0008-0000-0300-00004B000000}"/>
            </a:ext>
          </a:extLst>
        </xdr:cNvPr>
        <xdr:cNvSpPr/>
      </xdr:nvSpPr>
      <xdr:spPr>
        <a:xfrm>
          <a:off x="4655784" y="1378486"/>
          <a:ext cx="1434294"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Model map</a:t>
          </a:r>
        </a:p>
      </xdr:txBody>
    </xdr:sp>
    <xdr:clientData/>
  </xdr:twoCellAnchor>
  <xdr:twoCellAnchor>
    <xdr:from>
      <xdr:col>8</xdr:col>
      <xdr:colOff>452191</xdr:colOff>
      <xdr:row>15</xdr:row>
      <xdr:rowOff>128484</xdr:rowOff>
    </xdr:from>
    <xdr:to>
      <xdr:col>8</xdr:col>
      <xdr:colOff>457397</xdr:colOff>
      <xdr:row>16</xdr:row>
      <xdr:rowOff>168261</xdr:rowOff>
    </xdr:to>
    <xdr:cxnSp macro="">
      <xdr:nvCxnSpPr>
        <xdr:cNvPr id="76" name="Straight Arrow Connector 75">
          <a:extLst>
            <a:ext uri="{FF2B5EF4-FFF2-40B4-BE49-F238E27FC236}">
              <a16:creationId xmlns:a16="http://schemas.microsoft.com/office/drawing/2014/main" id="{00000000-0008-0000-0300-00004C000000}"/>
            </a:ext>
          </a:extLst>
        </xdr:cNvPr>
        <xdr:cNvCxnSpPr>
          <a:cxnSpLocks/>
          <a:stCxn id="72" idx="2"/>
          <a:endCxn id="51" idx="0"/>
        </xdr:cNvCxnSpPr>
      </xdr:nvCxnSpPr>
      <xdr:spPr>
        <a:xfrm>
          <a:off x="5395666" y="2938359"/>
          <a:ext cx="5206" cy="230277"/>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457397</xdr:colOff>
      <xdr:row>49</xdr:row>
      <xdr:rowOff>20138</xdr:rowOff>
    </xdr:from>
    <xdr:to>
      <xdr:col>8</xdr:col>
      <xdr:colOff>460748</xdr:colOff>
      <xdr:row>50</xdr:row>
      <xdr:rowOff>93635</xdr:rowOff>
    </xdr:to>
    <xdr:cxnSp macro="">
      <xdr:nvCxnSpPr>
        <xdr:cNvPr id="77" name="Straight Arrow Connector 76">
          <a:extLst>
            <a:ext uri="{FF2B5EF4-FFF2-40B4-BE49-F238E27FC236}">
              <a16:creationId xmlns:a16="http://schemas.microsoft.com/office/drawing/2014/main" id="{00000000-0008-0000-0300-00004D000000}"/>
            </a:ext>
          </a:extLst>
        </xdr:cNvPr>
        <xdr:cNvCxnSpPr>
          <a:cxnSpLocks/>
          <a:stCxn id="51" idx="2"/>
          <a:endCxn id="69" idx="0"/>
        </xdr:cNvCxnSpPr>
      </xdr:nvCxnSpPr>
      <xdr:spPr>
        <a:xfrm>
          <a:off x="5400872" y="9240338"/>
          <a:ext cx="3351" cy="263997"/>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1436314</xdr:colOff>
      <xdr:row>39</xdr:row>
      <xdr:rowOff>24755</xdr:rowOff>
    </xdr:from>
    <xdr:to>
      <xdr:col>8</xdr:col>
      <xdr:colOff>1248669</xdr:colOff>
      <xdr:row>40</xdr:row>
      <xdr:rowOff>90187</xdr:rowOff>
    </xdr:to>
    <xdr:sp macro="" textlink="">
      <xdr:nvSpPr>
        <xdr:cNvPr id="78" name="Rectangle 77">
          <a:hlinkClick xmlns:r="http://schemas.openxmlformats.org/officeDocument/2006/relationships" r:id="rId14"/>
          <a:extLst>
            <a:ext uri="{FF2B5EF4-FFF2-40B4-BE49-F238E27FC236}">
              <a16:creationId xmlns:a16="http://schemas.microsoft.com/office/drawing/2014/main" id="{00000000-0008-0000-0300-00004E000000}"/>
            </a:ext>
          </a:extLst>
        </xdr:cNvPr>
        <xdr:cNvSpPr/>
      </xdr:nvSpPr>
      <xdr:spPr>
        <a:xfrm>
          <a:off x="4598614" y="7349480"/>
          <a:ext cx="1593530" cy="24640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Revenue matching</a:t>
          </a:r>
        </a:p>
      </xdr:txBody>
    </xdr:sp>
    <xdr:clientData/>
  </xdr:twoCellAnchor>
  <xdr:twoCellAnchor>
    <xdr:from>
      <xdr:col>7</xdr:col>
      <xdr:colOff>1433774</xdr:colOff>
      <xdr:row>43</xdr:row>
      <xdr:rowOff>165588</xdr:rowOff>
    </xdr:from>
    <xdr:to>
      <xdr:col>8</xdr:col>
      <xdr:colOff>1247399</xdr:colOff>
      <xdr:row>45</xdr:row>
      <xdr:rowOff>52639</xdr:rowOff>
    </xdr:to>
    <xdr:sp macro="" textlink="">
      <xdr:nvSpPr>
        <xdr:cNvPr id="79" name="Rectangle 78">
          <a:hlinkClick xmlns:r="http://schemas.openxmlformats.org/officeDocument/2006/relationships" r:id="rId15"/>
          <a:extLst>
            <a:ext uri="{FF2B5EF4-FFF2-40B4-BE49-F238E27FC236}">
              <a16:creationId xmlns:a16="http://schemas.microsoft.com/office/drawing/2014/main" id="{00000000-0008-0000-0300-00004F000000}"/>
            </a:ext>
          </a:extLst>
        </xdr:cNvPr>
        <xdr:cNvSpPr/>
      </xdr:nvSpPr>
      <xdr:spPr>
        <a:xfrm>
          <a:off x="4596074" y="8242788"/>
          <a:ext cx="1594800" cy="2680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Rounding</a:t>
          </a:r>
        </a:p>
      </xdr:txBody>
    </xdr:sp>
    <xdr:clientData/>
  </xdr:twoCellAnchor>
  <xdr:twoCellAnchor>
    <xdr:from>
      <xdr:col>8</xdr:col>
      <xdr:colOff>447459</xdr:colOff>
      <xdr:row>40</xdr:row>
      <xdr:rowOff>92727</xdr:rowOff>
    </xdr:from>
    <xdr:to>
      <xdr:col>8</xdr:col>
      <xdr:colOff>449999</xdr:colOff>
      <xdr:row>41</xdr:row>
      <xdr:rowOff>96842</xdr:rowOff>
    </xdr:to>
    <xdr:cxnSp macro="">
      <xdr:nvCxnSpPr>
        <xdr:cNvPr id="80" name="Straight Arrow Connector 79">
          <a:extLst>
            <a:ext uri="{FF2B5EF4-FFF2-40B4-BE49-F238E27FC236}">
              <a16:creationId xmlns:a16="http://schemas.microsoft.com/office/drawing/2014/main" id="{00000000-0008-0000-0300-000050000000}"/>
            </a:ext>
          </a:extLst>
        </xdr:cNvPr>
        <xdr:cNvCxnSpPr>
          <a:stCxn id="78" idx="2"/>
          <a:endCxn id="87" idx="0"/>
        </xdr:cNvCxnSpPr>
      </xdr:nvCxnSpPr>
      <xdr:spPr>
        <a:xfrm flipH="1">
          <a:off x="5390934" y="7598427"/>
          <a:ext cx="2540" cy="194615"/>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2162304</xdr:colOff>
      <xdr:row>12</xdr:row>
      <xdr:rowOff>131503</xdr:rowOff>
    </xdr:from>
    <xdr:to>
      <xdr:col>8</xdr:col>
      <xdr:colOff>3607463</xdr:colOff>
      <xdr:row>14</xdr:row>
      <xdr:rowOff>180594</xdr:rowOff>
    </xdr:to>
    <xdr:sp macro="" textlink="">
      <xdr:nvSpPr>
        <xdr:cNvPr id="81" name="Rectangle 80">
          <a:hlinkClick xmlns:r="http://schemas.openxmlformats.org/officeDocument/2006/relationships" r:id="rId16"/>
          <a:extLst>
            <a:ext uri="{FF2B5EF4-FFF2-40B4-BE49-F238E27FC236}">
              <a16:creationId xmlns:a16="http://schemas.microsoft.com/office/drawing/2014/main" id="{00000000-0008-0000-0300-000051000000}"/>
            </a:ext>
          </a:extLst>
        </xdr:cNvPr>
        <xdr:cNvSpPr/>
      </xdr:nvSpPr>
      <xdr:spPr>
        <a:xfrm>
          <a:off x="7105779" y="2379403"/>
          <a:ext cx="1445159"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inputs</a:t>
          </a:r>
        </a:p>
      </xdr:txBody>
    </xdr:sp>
    <xdr:clientData/>
  </xdr:twoCellAnchor>
  <xdr:twoCellAnchor>
    <xdr:from>
      <xdr:col>8</xdr:col>
      <xdr:colOff>545935</xdr:colOff>
      <xdr:row>12</xdr:row>
      <xdr:rowOff>131503</xdr:rowOff>
    </xdr:from>
    <xdr:to>
      <xdr:col>8</xdr:col>
      <xdr:colOff>1981498</xdr:colOff>
      <xdr:row>14</xdr:row>
      <xdr:rowOff>180594</xdr:rowOff>
    </xdr:to>
    <xdr:sp macro="" textlink="">
      <xdr:nvSpPr>
        <xdr:cNvPr id="82" name="Rectangle 81">
          <a:hlinkClick xmlns:r="http://schemas.openxmlformats.org/officeDocument/2006/relationships" r:id="rId17"/>
          <a:extLst>
            <a:ext uri="{FF2B5EF4-FFF2-40B4-BE49-F238E27FC236}">
              <a16:creationId xmlns:a16="http://schemas.microsoft.com/office/drawing/2014/main" id="{00000000-0008-0000-0300-000052000000}"/>
            </a:ext>
          </a:extLst>
        </xdr:cNvPr>
        <xdr:cNvSpPr/>
      </xdr:nvSpPr>
      <xdr:spPr>
        <a:xfrm>
          <a:off x="5489410" y="2379403"/>
          <a:ext cx="1435563"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General inputs</a:t>
          </a:r>
        </a:p>
      </xdr:txBody>
    </xdr:sp>
    <xdr:clientData/>
  </xdr:twoCellAnchor>
  <xdr:twoCellAnchor>
    <xdr:from>
      <xdr:col>7</xdr:col>
      <xdr:colOff>709331</xdr:colOff>
      <xdr:row>12</xdr:row>
      <xdr:rowOff>131503</xdr:rowOff>
    </xdr:from>
    <xdr:to>
      <xdr:col>8</xdr:col>
      <xdr:colOff>365130</xdr:colOff>
      <xdr:row>14</xdr:row>
      <xdr:rowOff>180594</xdr:rowOff>
    </xdr:to>
    <xdr:sp macro="" textlink="">
      <xdr:nvSpPr>
        <xdr:cNvPr id="83" name="Rectangle 82">
          <a:hlinkClick xmlns:r="http://schemas.openxmlformats.org/officeDocument/2006/relationships" r:id="rId18"/>
          <a:extLst>
            <a:ext uri="{FF2B5EF4-FFF2-40B4-BE49-F238E27FC236}">
              <a16:creationId xmlns:a16="http://schemas.microsoft.com/office/drawing/2014/main" id="{00000000-0008-0000-0300-000053000000}"/>
            </a:ext>
          </a:extLst>
        </xdr:cNvPr>
        <xdr:cNvSpPr/>
      </xdr:nvSpPr>
      <xdr:spPr>
        <a:xfrm>
          <a:off x="3871631" y="2379403"/>
          <a:ext cx="1436974"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Inputs by network level</a:t>
          </a:r>
        </a:p>
      </xdr:txBody>
    </xdr:sp>
    <xdr:clientData/>
  </xdr:twoCellAnchor>
  <xdr:twoCellAnchor>
    <xdr:from>
      <xdr:col>8</xdr:col>
      <xdr:colOff>1233976</xdr:colOff>
      <xdr:row>7</xdr:row>
      <xdr:rowOff>83086</xdr:rowOff>
    </xdr:from>
    <xdr:to>
      <xdr:col>8</xdr:col>
      <xdr:colOff>2666907</xdr:colOff>
      <xdr:row>9</xdr:row>
      <xdr:rowOff>114687</xdr:rowOff>
    </xdr:to>
    <xdr:sp macro="" textlink="">
      <xdr:nvSpPr>
        <xdr:cNvPr id="84" name="Rectangle 83">
          <a:hlinkClick xmlns:r="http://schemas.openxmlformats.org/officeDocument/2006/relationships" r:id="rId19"/>
          <a:extLst>
            <a:ext uri="{FF2B5EF4-FFF2-40B4-BE49-F238E27FC236}">
              <a16:creationId xmlns:a16="http://schemas.microsoft.com/office/drawing/2014/main" id="{00000000-0008-0000-0300-000054000000}"/>
            </a:ext>
          </a:extLst>
        </xdr:cNvPr>
        <xdr:cNvSpPr/>
      </xdr:nvSpPr>
      <xdr:spPr>
        <a:xfrm>
          <a:off x="6177451" y="1378486"/>
          <a:ext cx="1432931"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Index</a:t>
          </a:r>
        </a:p>
      </xdr:txBody>
    </xdr:sp>
    <xdr:clientData/>
  </xdr:twoCellAnchor>
  <xdr:twoCellAnchor>
    <xdr:from>
      <xdr:col>8</xdr:col>
      <xdr:colOff>2754282</xdr:colOff>
      <xdr:row>7</xdr:row>
      <xdr:rowOff>83086</xdr:rowOff>
    </xdr:from>
    <xdr:to>
      <xdr:col>8</xdr:col>
      <xdr:colOff>4187213</xdr:colOff>
      <xdr:row>9</xdr:row>
      <xdr:rowOff>114687</xdr:rowOff>
    </xdr:to>
    <xdr:sp macro="" textlink="">
      <xdr:nvSpPr>
        <xdr:cNvPr id="85" name="Rectangle 84">
          <a:hlinkClick xmlns:r="http://schemas.openxmlformats.org/officeDocument/2006/relationships" r:id="rId20"/>
          <a:extLst>
            <a:ext uri="{FF2B5EF4-FFF2-40B4-BE49-F238E27FC236}">
              <a16:creationId xmlns:a16="http://schemas.microsoft.com/office/drawing/2014/main" id="{00000000-0008-0000-0300-000055000000}"/>
            </a:ext>
          </a:extLst>
        </xdr:cNvPr>
        <xdr:cNvSpPr/>
      </xdr:nvSpPr>
      <xdr:spPr>
        <a:xfrm>
          <a:off x="7697757" y="1378486"/>
          <a:ext cx="1432931"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Named ranges</a:t>
          </a:r>
        </a:p>
      </xdr:txBody>
    </xdr:sp>
    <xdr:clientData/>
  </xdr:twoCellAnchor>
  <xdr:twoCellAnchor>
    <xdr:from>
      <xdr:col>5</xdr:col>
      <xdr:colOff>1396648</xdr:colOff>
      <xdr:row>12</xdr:row>
      <xdr:rowOff>131503</xdr:rowOff>
    </xdr:from>
    <xdr:to>
      <xdr:col>7</xdr:col>
      <xdr:colOff>528525</xdr:colOff>
      <xdr:row>14</xdr:row>
      <xdr:rowOff>180594</xdr:rowOff>
    </xdr:to>
    <xdr:sp macro="" textlink="">
      <xdr:nvSpPr>
        <xdr:cNvPr id="86" name="Rectangle 85">
          <a:hlinkClick xmlns:r="http://schemas.openxmlformats.org/officeDocument/2006/relationships" r:id="rId21"/>
          <a:extLst>
            <a:ext uri="{FF2B5EF4-FFF2-40B4-BE49-F238E27FC236}">
              <a16:creationId xmlns:a16="http://schemas.microsoft.com/office/drawing/2014/main" id="{00000000-0008-0000-0300-000056000000}"/>
            </a:ext>
          </a:extLst>
        </xdr:cNvPr>
        <xdr:cNvSpPr/>
      </xdr:nvSpPr>
      <xdr:spPr>
        <a:xfrm>
          <a:off x="2253898" y="2379403"/>
          <a:ext cx="1436927"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Inputs by customer type</a:t>
          </a:r>
        </a:p>
      </xdr:txBody>
    </xdr:sp>
    <xdr:clientData/>
  </xdr:twoCellAnchor>
  <xdr:twoCellAnchor>
    <xdr:from>
      <xdr:col>5</xdr:col>
      <xdr:colOff>1710030</xdr:colOff>
      <xdr:row>19</xdr:row>
      <xdr:rowOff>188217</xdr:rowOff>
    </xdr:from>
    <xdr:to>
      <xdr:col>7</xdr:col>
      <xdr:colOff>836506</xdr:colOff>
      <xdr:row>22</xdr:row>
      <xdr:rowOff>55444</xdr:rowOff>
    </xdr:to>
    <xdr:sp macro="" textlink="">
      <xdr:nvSpPr>
        <xdr:cNvPr id="88" name="Rectangle 87">
          <a:hlinkClick xmlns:r="http://schemas.openxmlformats.org/officeDocument/2006/relationships" r:id="rId22"/>
          <a:extLst>
            <a:ext uri="{FF2B5EF4-FFF2-40B4-BE49-F238E27FC236}">
              <a16:creationId xmlns:a16="http://schemas.microsoft.com/office/drawing/2014/main" id="{00000000-0008-0000-0300-000058000000}"/>
            </a:ext>
          </a:extLst>
        </xdr:cNvPr>
        <xdr:cNvSpPr/>
      </xdr:nvSpPr>
      <xdr:spPr>
        <a:xfrm>
          <a:off x="2567280" y="3760092"/>
          <a:ext cx="1431526"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Standing charge factors</a:t>
          </a:r>
        </a:p>
      </xdr:txBody>
    </xdr:sp>
    <xdr:clientData/>
  </xdr:twoCellAnchor>
  <xdr:twoCellAnchor>
    <xdr:from>
      <xdr:col>7</xdr:col>
      <xdr:colOff>902498</xdr:colOff>
      <xdr:row>19</xdr:row>
      <xdr:rowOff>188217</xdr:rowOff>
    </xdr:from>
    <xdr:to>
      <xdr:col>8</xdr:col>
      <xdr:colOff>554213</xdr:colOff>
      <xdr:row>22</xdr:row>
      <xdr:rowOff>55444</xdr:rowOff>
    </xdr:to>
    <xdr:sp macro="" textlink="">
      <xdr:nvSpPr>
        <xdr:cNvPr id="89" name="Rectangle 88">
          <a:hlinkClick xmlns:r="http://schemas.openxmlformats.org/officeDocument/2006/relationships" r:id="rId23"/>
          <a:extLst>
            <a:ext uri="{FF2B5EF4-FFF2-40B4-BE49-F238E27FC236}">
              <a16:creationId xmlns:a16="http://schemas.microsoft.com/office/drawing/2014/main" id="{00000000-0008-0000-0300-000059000000}"/>
            </a:ext>
          </a:extLst>
        </xdr:cNvPr>
        <xdr:cNvSpPr/>
      </xdr:nvSpPr>
      <xdr:spPr>
        <a:xfrm>
          <a:off x="4064798" y="3760092"/>
          <a:ext cx="1432890"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Load &amp; loss characteristics</a:t>
          </a:r>
        </a:p>
      </xdr:txBody>
    </xdr:sp>
    <xdr:clientData/>
  </xdr:twoCellAnchor>
  <xdr:twoCellAnchor>
    <xdr:from>
      <xdr:col>7</xdr:col>
      <xdr:colOff>144021</xdr:colOff>
      <xdr:row>22</xdr:row>
      <xdr:rowOff>125894</xdr:rowOff>
    </xdr:from>
    <xdr:to>
      <xdr:col>7</xdr:col>
      <xdr:colOff>1575547</xdr:colOff>
      <xdr:row>24</xdr:row>
      <xdr:rowOff>178324</xdr:rowOff>
    </xdr:to>
    <xdr:sp macro="" textlink="">
      <xdr:nvSpPr>
        <xdr:cNvPr id="90" name="Rectangle 89">
          <a:hlinkClick xmlns:r="http://schemas.openxmlformats.org/officeDocument/2006/relationships" r:id="rId24"/>
          <a:extLst>
            <a:ext uri="{FF2B5EF4-FFF2-40B4-BE49-F238E27FC236}">
              <a16:creationId xmlns:a16="http://schemas.microsoft.com/office/drawing/2014/main" id="{00000000-0008-0000-0300-00005A000000}"/>
            </a:ext>
          </a:extLst>
        </xdr:cNvPr>
        <xdr:cNvSpPr/>
      </xdr:nvSpPr>
      <xdr:spPr>
        <a:xfrm>
          <a:off x="3306321" y="4269269"/>
          <a:ext cx="1431526"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System peak demand</a:t>
          </a:r>
        </a:p>
      </xdr:txBody>
    </xdr:sp>
    <xdr:clientData/>
  </xdr:twoCellAnchor>
  <xdr:twoCellAnchor>
    <xdr:from>
      <xdr:col>6</xdr:col>
      <xdr:colOff>118918</xdr:colOff>
      <xdr:row>27</xdr:row>
      <xdr:rowOff>156490</xdr:rowOff>
    </xdr:from>
    <xdr:to>
      <xdr:col>7</xdr:col>
      <xdr:colOff>1383088</xdr:colOff>
      <xdr:row>30</xdr:row>
      <xdr:rowOff>18419</xdr:rowOff>
    </xdr:to>
    <xdr:sp macro="" textlink="">
      <xdr:nvSpPr>
        <xdr:cNvPr id="91" name="Rectangle 90">
          <a:hlinkClick xmlns:r="http://schemas.openxmlformats.org/officeDocument/2006/relationships" r:id="rId25"/>
          <a:extLst>
            <a:ext uri="{FF2B5EF4-FFF2-40B4-BE49-F238E27FC236}">
              <a16:creationId xmlns:a16="http://schemas.microsoft.com/office/drawing/2014/main" id="{00000000-0008-0000-0300-00005B000000}"/>
            </a:ext>
          </a:extLst>
        </xdr:cNvPr>
        <xdr:cNvSpPr/>
      </xdr:nvSpPr>
      <xdr:spPr>
        <a:xfrm>
          <a:off x="3109768" y="5252365"/>
          <a:ext cx="1435620" cy="433429"/>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Unit costs</a:t>
          </a:r>
        </a:p>
      </xdr:txBody>
    </xdr:sp>
    <xdr:clientData/>
  </xdr:twoCellAnchor>
  <xdr:twoCellAnchor>
    <xdr:from>
      <xdr:col>8</xdr:col>
      <xdr:colOff>524501</xdr:colOff>
      <xdr:row>27</xdr:row>
      <xdr:rowOff>147236</xdr:rowOff>
    </xdr:from>
    <xdr:to>
      <xdr:col>8</xdr:col>
      <xdr:colOff>1956027</xdr:colOff>
      <xdr:row>30</xdr:row>
      <xdr:rowOff>9165</xdr:rowOff>
    </xdr:to>
    <xdr:sp macro="" textlink="">
      <xdr:nvSpPr>
        <xdr:cNvPr id="92" name="Rectangle 91">
          <a:hlinkClick xmlns:r="http://schemas.openxmlformats.org/officeDocument/2006/relationships" r:id="rId26"/>
          <a:extLst>
            <a:ext uri="{FF2B5EF4-FFF2-40B4-BE49-F238E27FC236}">
              <a16:creationId xmlns:a16="http://schemas.microsoft.com/office/drawing/2014/main" id="{00000000-0008-0000-0300-00005C000000}"/>
            </a:ext>
          </a:extLst>
        </xdr:cNvPr>
        <xdr:cNvSpPr/>
      </xdr:nvSpPr>
      <xdr:spPr>
        <a:xfrm>
          <a:off x="5467976" y="5243111"/>
          <a:ext cx="1431526" cy="433429"/>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Service model charges</a:t>
          </a:r>
        </a:p>
      </xdr:txBody>
    </xdr:sp>
    <xdr:clientData/>
  </xdr:twoCellAnchor>
  <xdr:twoCellAnchor>
    <xdr:from>
      <xdr:col>7</xdr:col>
      <xdr:colOff>665279</xdr:colOff>
      <xdr:row>30</xdr:row>
      <xdr:rowOff>18417</xdr:rowOff>
    </xdr:from>
    <xdr:to>
      <xdr:col>8</xdr:col>
      <xdr:colOff>1240362</xdr:colOff>
      <xdr:row>34</xdr:row>
      <xdr:rowOff>100941</xdr:rowOff>
    </xdr:to>
    <xdr:cxnSp macro="">
      <xdr:nvCxnSpPr>
        <xdr:cNvPr id="93" name="Connector: Elbow 92">
          <a:extLst>
            <a:ext uri="{FF2B5EF4-FFF2-40B4-BE49-F238E27FC236}">
              <a16:creationId xmlns:a16="http://schemas.microsoft.com/office/drawing/2014/main" id="{00000000-0008-0000-0300-00005D000000}"/>
            </a:ext>
          </a:extLst>
        </xdr:cNvPr>
        <xdr:cNvCxnSpPr>
          <a:stCxn id="91" idx="2"/>
          <a:endCxn id="61" idx="0"/>
        </xdr:cNvCxnSpPr>
      </xdr:nvCxnSpPr>
      <xdr:spPr>
        <a:xfrm rot="16200000" flipH="1">
          <a:off x="4588208" y="4925163"/>
          <a:ext cx="834999" cy="2356258"/>
        </a:xfrm>
        <a:prstGeom prst="bentConnector3">
          <a:avLst>
            <a:gd name="adj1" fmla="val 437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525843</xdr:colOff>
      <xdr:row>51</xdr:row>
      <xdr:rowOff>31923</xdr:rowOff>
    </xdr:from>
    <xdr:to>
      <xdr:col>8</xdr:col>
      <xdr:colOff>1943060</xdr:colOff>
      <xdr:row>53</xdr:row>
      <xdr:rowOff>79698</xdr:rowOff>
    </xdr:to>
    <xdr:sp macro="" textlink="">
      <xdr:nvSpPr>
        <xdr:cNvPr id="94" name="Rectangle 93">
          <a:hlinkClick xmlns:r="http://schemas.openxmlformats.org/officeDocument/2006/relationships" r:id="rId27"/>
          <a:extLst>
            <a:ext uri="{FF2B5EF4-FFF2-40B4-BE49-F238E27FC236}">
              <a16:creationId xmlns:a16="http://schemas.microsoft.com/office/drawing/2014/main" id="{00000000-0008-0000-0300-00005E000000}"/>
            </a:ext>
          </a:extLst>
        </xdr:cNvPr>
        <xdr:cNvSpPr/>
      </xdr:nvSpPr>
      <xdr:spPr>
        <a:xfrm>
          <a:off x="5469318" y="9623598"/>
          <a:ext cx="1417217" cy="428775"/>
        </a:xfrm>
        <a:prstGeom prst="rect">
          <a:avLst/>
        </a:prstGeom>
        <a:solidFill>
          <a:schemeClr val="accent6">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Output to other models</a:t>
          </a:r>
        </a:p>
      </xdr:txBody>
    </xdr:sp>
    <xdr:clientData/>
  </xdr:twoCellAnchor>
  <xdr:twoCellAnchor>
    <xdr:from>
      <xdr:col>8</xdr:col>
      <xdr:colOff>447459</xdr:colOff>
      <xdr:row>45</xdr:row>
      <xdr:rowOff>55179</xdr:rowOff>
    </xdr:from>
    <xdr:to>
      <xdr:col>8</xdr:col>
      <xdr:colOff>449999</xdr:colOff>
      <xdr:row>46</xdr:row>
      <xdr:rowOff>52943</xdr:rowOff>
    </xdr:to>
    <xdr:cxnSp macro="">
      <xdr:nvCxnSpPr>
        <xdr:cNvPr id="203" name="Straight Arrow Connector 202">
          <a:extLst>
            <a:ext uri="{FF2B5EF4-FFF2-40B4-BE49-F238E27FC236}">
              <a16:creationId xmlns:a16="http://schemas.microsoft.com/office/drawing/2014/main" id="{00000000-0008-0000-0300-0000CB000000}"/>
            </a:ext>
          </a:extLst>
        </xdr:cNvPr>
        <xdr:cNvCxnSpPr>
          <a:stCxn id="79" idx="2"/>
          <a:endCxn id="205" idx="0"/>
        </xdr:cNvCxnSpPr>
      </xdr:nvCxnSpPr>
      <xdr:spPr>
        <a:xfrm>
          <a:off x="5390934" y="8513379"/>
          <a:ext cx="2540" cy="188264"/>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1436314</xdr:colOff>
      <xdr:row>46</xdr:row>
      <xdr:rowOff>50403</xdr:rowOff>
    </xdr:from>
    <xdr:to>
      <xdr:col>8</xdr:col>
      <xdr:colOff>1248669</xdr:colOff>
      <xdr:row>47</xdr:row>
      <xdr:rowOff>131554</xdr:rowOff>
    </xdr:to>
    <xdr:sp macro="" textlink="">
      <xdr:nvSpPr>
        <xdr:cNvPr id="205" name="Rectangle 204">
          <a:hlinkClick xmlns:r="http://schemas.openxmlformats.org/officeDocument/2006/relationships" r:id="rId28"/>
          <a:extLst>
            <a:ext uri="{FF2B5EF4-FFF2-40B4-BE49-F238E27FC236}">
              <a16:creationId xmlns:a16="http://schemas.microsoft.com/office/drawing/2014/main" id="{00000000-0008-0000-0300-0000CD000000}"/>
            </a:ext>
          </a:extLst>
        </xdr:cNvPr>
        <xdr:cNvSpPr/>
      </xdr:nvSpPr>
      <xdr:spPr>
        <a:xfrm>
          <a:off x="4598614" y="8699103"/>
          <a:ext cx="1593530" cy="2716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Net revenue summary</a:t>
          </a:r>
        </a:p>
      </xdr:txBody>
    </xdr:sp>
    <xdr:clientData/>
  </xdr:twoCellAnchor>
  <xdr:twoCellAnchor>
    <xdr:from>
      <xdr:col>7</xdr:col>
      <xdr:colOff>1433774</xdr:colOff>
      <xdr:row>41</xdr:row>
      <xdr:rowOff>93032</xdr:rowOff>
    </xdr:from>
    <xdr:to>
      <xdr:col>8</xdr:col>
      <xdr:colOff>1247399</xdr:colOff>
      <xdr:row>42</xdr:row>
      <xdr:rowOff>165283</xdr:rowOff>
    </xdr:to>
    <xdr:sp macro="" textlink="">
      <xdr:nvSpPr>
        <xdr:cNvPr id="87" name="Rectangle 86">
          <a:hlinkClick xmlns:r="http://schemas.openxmlformats.org/officeDocument/2006/relationships" r:id="rId29"/>
          <a:extLst>
            <a:ext uri="{FF2B5EF4-FFF2-40B4-BE49-F238E27FC236}">
              <a16:creationId xmlns:a16="http://schemas.microsoft.com/office/drawing/2014/main" id="{44A41522-7D06-492D-B4B4-E414831C2BC9}"/>
            </a:ext>
          </a:extLst>
        </xdr:cNvPr>
        <xdr:cNvSpPr/>
      </xdr:nvSpPr>
      <xdr:spPr>
        <a:xfrm>
          <a:off x="4596074" y="7789232"/>
          <a:ext cx="1594800" cy="2627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charge adder</a:t>
          </a:r>
        </a:p>
      </xdr:txBody>
    </xdr:sp>
    <xdr:clientData/>
  </xdr:twoCellAnchor>
  <xdr:twoCellAnchor>
    <xdr:from>
      <xdr:col>8</xdr:col>
      <xdr:colOff>447459</xdr:colOff>
      <xdr:row>42</xdr:row>
      <xdr:rowOff>167823</xdr:rowOff>
    </xdr:from>
    <xdr:to>
      <xdr:col>8</xdr:col>
      <xdr:colOff>447459</xdr:colOff>
      <xdr:row>43</xdr:row>
      <xdr:rowOff>168128</xdr:rowOff>
    </xdr:to>
    <xdr:cxnSp macro="">
      <xdr:nvCxnSpPr>
        <xdr:cNvPr id="95" name="Straight Arrow Connector 94">
          <a:extLst>
            <a:ext uri="{FF2B5EF4-FFF2-40B4-BE49-F238E27FC236}">
              <a16:creationId xmlns:a16="http://schemas.microsoft.com/office/drawing/2014/main" id="{C28C87CF-E094-46D1-82CB-B6EDA8D24F51}"/>
            </a:ext>
          </a:extLst>
        </xdr:cNvPr>
        <xdr:cNvCxnSpPr>
          <a:stCxn id="87" idx="2"/>
          <a:endCxn id="79" idx="0"/>
        </xdr:cNvCxnSpPr>
      </xdr:nvCxnSpPr>
      <xdr:spPr>
        <a:xfrm>
          <a:off x="5390934" y="8054523"/>
          <a:ext cx="0" cy="190805"/>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6" tint="0.39997558519241921"/>
    <pageSetUpPr fitToPage="1"/>
  </sheetPr>
  <dimension ref="A2:E52"/>
  <sheetViews>
    <sheetView showGridLines="0" showRowColHeaders="0" tabSelected="1" zoomScale="80" zoomScaleNormal="80" workbookViewId="0">
      <selection activeCell="D24" sqref="D24"/>
    </sheetView>
  </sheetViews>
  <sheetFormatPr defaultColWidth="0" defaultRowHeight="15" customHeight="1" x14ac:dyDescent="0.25"/>
  <cols>
    <col min="1" max="1" width="2.7109375" style="3" customWidth="1"/>
    <col min="2" max="2" width="22.7109375" style="3" customWidth="1"/>
    <col min="3" max="3" width="2.7109375" style="3" customWidth="1"/>
    <col min="4" max="4" width="100.42578125" style="4" customWidth="1"/>
    <col min="5" max="5" width="2.5703125" style="3" customWidth="1"/>
    <col min="6" max="16384" width="9.28515625" style="3" hidden="1"/>
  </cols>
  <sheetData>
    <row r="2" spans="2:4" ht="28.5" x14ac:dyDescent="0.25">
      <c r="D2" s="16" t="s">
        <v>0</v>
      </c>
    </row>
    <row r="4" spans="2:4" ht="21" x14ac:dyDescent="0.25">
      <c r="D4" s="7" t="s">
        <v>1015</v>
      </c>
    </row>
    <row r="5" spans="2:4" x14ac:dyDescent="0.25">
      <c r="D5" s="17"/>
    </row>
    <row r="6" spans="2:4" x14ac:dyDescent="0.25">
      <c r="B6" s="18" t="str">
        <f>'Version control'!F7</f>
        <v>Model date:</v>
      </c>
      <c r="D6" s="19">
        <f>'Version control'!H7</f>
        <v>43495</v>
      </c>
    </row>
    <row r="7" spans="2:4" ht="15" customHeight="1" x14ac:dyDescent="0.25">
      <c r="D7" s="20"/>
    </row>
    <row r="8" spans="2:4" ht="15" customHeight="1" x14ac:dyDescent="0.25">
      <c r="B8" s="18" t="str">
        <f>'Version control'!F9</f>
        <v>Development stage:</v>
      </c>
      <c r="D8" s="19" t="str">
        <f>'Version control'!H9</f>
        <v>Release for charge setting</v>
      </c>
    </row>
    <row r="9" spans="2:4" ht="15" customHeight="1" x14ac:dyDescent="0.25">
      <c r="D9" s="20"/>
    </row>
    <row r="10" spans="2:4" ht="15" customHeight="1" x14ac:dyDescent="0.25">
      <c r="B10" s="18" t="str">
        <f>'Version control'!F11</f>
        <v>Model number:</v>
      </c>
      <c r="D10" s="20">
        <f>'Version control'!H11</f>
        <v>6</v>
      </c>
    </row>
    <row r="11" spans="2:4" ht="15" customHeight="1" x14ac:dyDescent="0.25">
      <c r="D11" s="20"/>
    </row>
    <row r="12" spans="2:4" ht="15" customHeight="1" x14ac:dyDescent="0.25">
      <c r="B12" s="18" t="str">
        <f>'Version control'!F13</f>
        <v>DCUSA text version:</v>
      </c>
      <c r="D12" s="19" t="str">
        <f>'Version control'!H13</f>
        <v>01 April 2021 Charging Methodologies Pre-Release – December 2019 (Schedules 15-16-17-18-20-29) (DCPs 268-332-333-341-342-356) (shared 19/12/2019)</v>
      </c>
    </row>
    <row r="13" spans="2:4" ht="15" customHeight="1" x14ac:dyDescent="0.25">
      <c r="D13" s="20"/>
    </row>
    <row r="14" spans="2:4" ht="15" customHeight="1" x14ac:dyDescent="0.25">
      <c r="B14" s="18" t="str">
        <f>'Version control'!F15</f>
        <v>DCUSA text schedule:</v>
      </c>
      <c r="D14" s="19" t="str">
        <f>'Version control'!H15</f>
        <v>Schedule 16</v>
      </c>
    </row>
    <row r="16" spans="2:4" ht="45" x14ac:dyDescent="0.25">
      <c r="B16" s="18" t="s">
        <v>1</v>
      </c>
      <c r="D16" s="8" t="s">
        <v>969</v>
      </c>
    </row>
    <row r="17" spans="2:4" x14ac:dyDescent="0.25">
      <c r="D17" s="4" t="s">
        <v>2</v>
      </c>
    </row>
    <row r="18" spans="2:4" x14ac:dyDescent="0.25">
      <c r="D18" s="3"/>
    </row>
    <row r="19" spans="2:4" ht="15" customHeight="1" x14ac:dyDescent="0.25">
      <c r="B19" s="18" t="s">
        <v>3</v>
      </c>
      <c r="D19" s="245" t="s">
        <v>1012</v>
      </c>
    </row>
    <row r="21" spans="2:4" ht="15" customHeight="1" x14ac:dyDescent="0.25">
      <c r="B21" s="18" t="s">
        <v>4</v>
      </c>
      <c r="D21" s="245" t="s">
        <v>1049</v>
      </c>
    </row>
    <row r="23" spans="2:4" ht="15" customHeight="1" x14ac:dyDescent="0.25">
      <c r="B23" s="18" t="s">
        <v>5</v>
      </c>
      <c r="D23" s="245" t="s">
        <v>1047</v>
      </c>
    </row>
    <row r="25" spans="2:4" ht="30" customHeight="1" x14ac:dyDescent="0.25">
      <c r="B25" s="18" t="s">
        <v>6</v>
      </c>
      <c r="D25" s="245" t="s">
        <v>1048</v>
      </c>
    </row>
    <row r="26" spans="2:4" ht="15" customHeight="1" x14ac:dyDescent="0.25">
      <c r="B26" s="18"/>
    </row>
    <row r="27" spans="2:4" ht="15" customHeight="1" x14ac:dyDescent="0.25">
      <c r="B27" s="18" t="s">
        <v>7</v>
      </c>
    </row>
    <row r="28" spans="2:4" customFormat="1" ht="15" customHeight="1" x14ac:dyDescent="0.25">
      <c r="B28" s="21" t="s">
        <v>8</v>
      </c>
      <c r="C28" s="1"/>
      <c r="D28" s="1" t="s">
        <v>9</v>
      </c>
    </row>
    <row r="29" spans="2:4" customFormat="1" x14ac:dyDescent="0.25">
      <c r="B29" s="22"/>
      <c r="C29" s="23"/>
      <c r="D29" s="23" t="s">
        <v>10</v>
      </c>
    </row>
    <row r="30" spans="2:4" customFormat="1" x14ac:dyDescent="0.25">
      <c r="B30" s="246" t="s">
        <v>11</v>
      </c>
      <c r="D30" t="s">
        <v>12</v>
      </c>
    </row>
    <row r="31" spans="2:4" customFormat="1" x14ac:dyDescent="0.25">
      <c r="B31" s="247" t="s">
        <v>11</v>
      </c>
      <c r="D31" t="s">
        <v>13</v>
      </c>
    </row>
    <row r="32" spans="2:4" customFormat="1" x14ac:dyDescent="0.25">
      <c r="B32" s="248" t="s">
        <v>11</v>
      </c>
      <c r="D32" t="s">
        <v>14</v>
      </c>
    </row>
    <row r="33" spans="2:4" customFormat="1" x14ac:dyDescent="0.25">
      <c r="B33" s="24" t="s">
        <v>11</v>
      </c>
      <c r="D33" t="s">
        <v>15</v>
      </c>
    </row>
    <row r="34" spans="2:4" customFormat="1" x14ac:dyDescent="0.25">
      <c r="B34" s="25" t="s">
        <v>11</v>
      </c>
      <c r="D34" t="s">
        <v>16</v>
      </c>
    </row>
    <row r="35" spans="2:4" customFormat="1" x14ac:dyDescent="0.25">
      <c r="B35" s="26" t="s">
        <v>11</v>
      </c>
      <c r="D35" t="s">
        <v>17</v>
      </c>
    </row>
    <row r="36" spans="2:4" customFormat="1" x14ac:dyDescent="0.25">
      <c r="B36" s="27" t="s">
        <v>11</v>
      </c>
      <c r="D36" t="s">
        <v>18</v>
      </c>
    </row>
    <row r="37" spans="2:4" customFormat="1" x14ac:dyDescent="0.25">
      <c r="B37" s="28" t="s">
        <v>19</v>
      </c>
      <c r="D37" t="s">
        <v>20</v>
      </c>
    </row>
    <row r="38" spans="2:4" customFormat="1" ht="15" customHeight="1" x14ac:dyDescent="0.25">
      <c r="B38" s="29" t="s">
        <v>19</v>
      </c>
      <c r="D38" t="s">
        <v>21</v>
      </c>
    </row>
    <row r="39" spans="2:4" customFormat="1" ht="15" customHeight="1" x14ac:dyDescent="0.25">
      <c r="B39" s="1" t="s">
        <v>19</v>
      </c>
      <c r="D39" t="s">
        <v>22</v>
      </c>
    </row>
    <row r="40" spans="2:4" customFormat="1" ht="15" customHeight="1" x14ac:dyDescent="0.25">
      <c r="B40" s="30" t="s">
        <v>19</v>
      </c>
      <c r="D40" t="s">
        <v>23</v>
      </c>
    </row>
    <row r="41" spans="2:4" customFormat="1" ht="15" customHeight="1" x14ac:dyDescent="0.25">
      <c r="B41" s="31" t="s">
        <v>19</v>
      </c>
      <c r="D41" t="s">
        <v>24</v>
      </c>
    </row>
    <row r="42" spans="2:4" customFormat="1" ht="15" customHeight="1" x14ac:dyDescent="0.25">
      <c r="B42" s="32" t="s">
        <v>19</v>
      </c>
      <c r="D42" t="s">
        <v>25</v>
      </c>
    </row>
    <row r="43" spans="2:4" customFormat="1" ht="15" customHeight="1" x14ac:dyDescent="0.25">
      <c r="B43" s="33" t="s">
        <v>26</v>
      </c>
      <c r="D43" t="s">
        <v>27</v>
      </c>
    </row>
    <row r="44" spans="2:4" customFormat="1" ht="15" customHeight="1" x14ac:dyDescent="0.25">
      <c r="B44" s="34" t="s">
        <v>26</v>
      </c>
      <c r="D44" t="s">
        <v>28</v>
      </c>
    </row>
    <row r="45" spans="2:4" customFormat="1" ht="15" customHeight="1" x14ac:dyDescent="0.25">
      <c r="B45" s="35" t="s">
        <v>26</v>
      </c>
      <c r="D45" t="s">
        <v>29</v>
      </c>
    </row>
    <row r="46" spans="2:4" customFormat="1" ht="15" customHeight="1" x14ac:dyDescent="0.25">
      <c r="B46" s="36" t="s">
        <v>26</v>
      </c>
      <c r="C46" s="37"/>
      <c r="D46" s="37" t="s">
        <v>30</v>
      </c>
    </row>
    <row r="47" spans="2:4" ht="15" customHeight="1" x14ac:dyDescent="0.25">
      <c r="D47" s="38"/>
    </row>
    <row r="48" spans="2:4" ht="15" customHeight="1" x14ac:dyDescent="0.25">
      <c r="B48" s="4"/>
    </row>
    <row r="49" spans="2:4" ht="15" customHeight="1" x14ac:dyDescent="0.25">
      <c r="B49" s="39"/>
    </row>
    <row r="50" spans="2:4" ht="15" customHeight="1" x14ac:dyDescent="0.25">
      <c r="B50" s="39"/>
    </row>
    <row r="51" spans="2:4" ht="15" customHeight="1" x14ac:dyDescent="0.25">
      <c r="B51" s="39"/>
    </row>
    <row r="52" spans="2:4" ht="15" customHeight="1" x14ac:dyDescent="0.25">
      <c r="B52" s="39"/>
      <c r="D52" s="3"/>
    </row>
  </sheetData>
  <sheetProtection sheet="1" objects="1" formatCells="0" formatColumns="0" formatRows="0" sort="0" autoFilter="0"/>
  <dataValidations count="1">
    <dataValidation allowBlank="1" showInputMessage="1" showErrorMessage="1" prompt="Year should be entered as YYYY/YY_x000a_(e.g. 2019/20)" sqref="D19" xr:uid="{00000000-0002-0000-0000-000000000000}"/>
  </dataValidations>
  <pageMargins left="0.23622047244094491" right="0.23622047244094491" top="0.74803149606299213" bottom="0.74803149606299213" header="0.31496062992125984" footer="0.31496062992125984"/>
  <pageSetup paperSize="9" scale="75" fitToHeight="0" orientation="portrait" r:id="rId1"/>
  <headerFooter>
    <oddFooter>&amp;L&amp;Z&amp;F&amp;R&amp;P of &amp;N&amp;C&amp;"Calibri"&amp;11&amp;K000000&amp;D_x000D_&amp;1#&amp;"Calibri"&amp;12&amp;K008000Internal Use</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9">
    <tabColor theme="4" tint="0.59999389629810485"/>
    <pageSetUpPr fitToPage="1"/>
  </sheetPr>
  <dimension ref="A1:LC6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8" width="17" customWidth="1"/>
    <col min="29" max="29" width="2.42578125" customWidth="1"/>
    <col min="30" max="30" width="50.5703125" customWidth="1"/>
    <col min="31" max="31" width="2.42578125" customWidth="1"/>
    <col min="32" max="32" width="24.5703125" hidden="1" customWidth="1"/>
    <col min="33" max="33" width="3.5703125" hidden="1" customWidth="1"/>
    <col min="34" max="34" width="15.42578125" hidden="1" customWidth="1"/>
    <col min="35" max="315" width="24.5703125" hidden="1" customWidth="1"/>
    <col min="316" max="16384" width="8.5703125" hidden="1"/>
  </cols>
  <sheetData>
    <row r="1" spans="1:30" s="1" customFormat="1" x14ac:dyDescent="0.25">
      <c r="A1" s="1" t="str">
        <f ca="1">MID(CELL("filename",A1),FIND("]",CELL("filename",A1))+1,255)</f>
        <v>Standing charge factors</v>
      </c>
    </row>
    <row r="2" spans="1:30" s="1" customFormat="1" x14ac:dyDescent="0.25">
      <c r="A2" s="1" t="str">
        <f>Cover!D21&amp;" - "&amp;Cover!D23</f>
        <v>SP Distribution - Two</v>
      </c>
    </row>
    <row r="3" spans="1:30" s="5" customFormat="1" x14ac:dyDescent="0.25">
      <c r="A3" s="5" t="str">
        <f>Cover!D2&amp;" - "&amp;Cover!D8&amp;" v"&amp;Cover!D10&amp;" - "&amp;Cover!D19</f>
        <v>CDCM charging model - Release for charge setting v6 - 2021/22</v>
      </c>
    </row>
    <row r="4" spans="1:30" x14ac:dyDescent="0.25">
      <c r="A4" s="12" t="str">
        <f>H58 &amp; IF(H58 = 1, " issue", " issues") &amp;" identified in checks on this sheet"</f>
        <v>0 issues identified in checks on this sheet</v>
      </c>
      <c r="B4" s="13"/>
      <c r="C4" s="13"/>
      <c r="D4" s="13"/>
      <c r="E4" s="13"/>
      <c r="F4" s="13"/>
      <c r="G4" s="13"/>
      <c r="H4" s="14"/>
      <c r="I4" s="14"/>
    </row>
    <row r="5" spans="1:30" ht="60" x14ac:dyDescent="0.25">
      <c r="B5" s="59" t="s">
        <v>141</v>
      </c>
      <c r="C5" s="60"/>
      <c r="D5" s="60"/>
      <c r="E5" s="60"/>
      <c r="F5" s="60"/>
      <c r="G5" s="61" t="s">
        <v>142</v>
      </c>
      <c r="H5" s="62" t="s">
        <v>143</v>
      </c>
      <c r="I5" s="14"/>
      <c r="J5" s="62" t="s">
        <v>893</v>
      </c>
      <c r="K5" s="62" t="s">
        <v>895</v>
      </c>
      <c r="L5" s="62" t="s">
        <v>894</v>
      </c>
      <c r="M5" s="62" t="s">
        <v>896</v>
      </c>
      <c r="N5" s="62" t="s">
        <v>902</v>
      </c>
      <c r="O5" s="62" t="s">
        <v>903</v>
      </c>
      <c r="P5" s="62" t="s">
        <v>904</v>
      </c>
      <c r="Q5" s="62" t="s">
        <v>1027</v>
      </c>
      <c r="R5" s="62" t="s">
        <v>1028</v>
      </c>
      <c r="S5" s="62" t="s">
        <v>1029</v>
      </c>
      <c r="T5" s="62" t="s">
        <v>905</v>
      </c>
      <c r="U5" s="62" t="s">
        <v>897</v>
      </c>
      <c r="V5" s="62" t="s">
        <v>898</v>
      </c>
      <c r="W5" s="62" t="s">
        <v>899</v>
      </c>
      <c r="X5" s="62" t="s">
        <v>908</v>
      </c>
      <c r="Y5" s="62" t="s">
        <v>900</v>
      </c>
      <c r="Z5" s="62" t="s">
        <v>907</v>
      </c>
      <c r="AA5" s="62" t="s">
        <v>901</v>
      </c>
      <c r="AB5" s="62" t="s">
        <v>906</v>
      </c>
      <c r="AD5" s="61" t="s">
        <v>144</v>
      </c>
    </row>
    <row r="7" spans="1:30" x14ac:dyDescent="0.25">
      <c r="B7" s="30" t="s">
        <v>9</v>
      </c>
      <c r="C7" s="105"/>
      <c r="D7" s="106"/>
      <c r="E7" s="106"/>
      <c r="F7" s="105"/>
      <c r="G7" s="105"/>
      <c r="H7" s="105"/>
      <c r="I7" s="105"/>
      <c r="J7" s="105"/>
      <c r="K7" s="105"/>
      <c r="L7" s="105"/>
      <c r="M7" s="105"/>
      <c r="N7" s="105"/>
      <c r="O7" s="105"/>
      <c r="P7" s="105"/>
      <c r="Q7" s="105"/>
      <c r="R7" s="105"/>
      <c r="S7" s="105"/>
      <c r="T7" s="105"/>
      <c r="U7" s="105"/>
      <c r="V7" s="105"/>
      <c r="W7" s="105"/>
      <c r="X7" s="105"/>
      <c r="Y7" s="105"/>
      <c r="Z7" s="105"/>
      <c r="AA7" s="105"/>
      <c r="AB7" s="105"/>
      <c r="AC7" s="105"/>
      <c r="AD7" s="105"/>
    </row>
    <row r="9" spans="1:30" x14ac:dyDescent="0.25">
      <c r="C9" s="29" t="s">
        <v>365</v>
      </c>
      <c r="E9"/>
    </row>
    <row r="10" spans="1:30" x14ac:dyDescent="0.25">
      <c r="C10" s="29" t="s">
        <v>366</v>
      </c>
      <c r="E10"/>
    </row>
    <row r="11" spans="1:30" x14ac:dyDescent="0.25">
      <c r="C11" s="29" t="s">
        <v>367</v>
      </c>
      <c r="E11"/>
    </row>
    <row r="12" spans="1:30" x14ac:dyDescent="0.25">
      <c r="C12" s="29" t="s">
        <v>368</v>
      </c>
      <c r="E12"/>
    </row>
    <row r="13" spans="1:30" x14ac:dyDescent="0.25">
      <c r="C13" s="29"/>
      <c r="E13"/>
    </row>
    <row r="14" spans="1:30" x14ac:dyDescent="0.25">
      <c r="C14" s="29" t="s">
        <v>369</v>
      </c>
      <c r="E14"/>
    </row>
    <row r="15" spans="1:30" x14ac:dyDescent="0.25">
      <c r="C15" s="29" t="s">
        <v>370</v>
      </c>
      <c r="E15"/>
    </row>
    <row r="17" spans="2:30" x14ac:dyDescent="0.25">
      <c r="B17" s="30" t="s">
        <v>371</v>
      </c>
      <c r="C17" s="105"/>
      <c r="D17" s="106"/>
      <c r="E17" s="106"/>
      <c r="F17" s="105"/>
      <c r="G17" s="105"/>
      <c r="H17" s="105"/>
      <c r="I17" s="105"/>
      <c r="J17" s="105"/>
      <c r="K17" s="105"/>
      <c r="L17" s="105"/>
      <c r="M17" s="105"/>
      <c r="N17" s="105"/>
      <c r="O17" s="105"/>
      <c r="P17" s="105"/>
      <c r="Q17" s="105"/>
      <c r="R17" s="105"/>
      <c r="S17" s="105"/>
      <c r="T17" s="105"/>
      <c r="U17" s="105"/>
      <c r="V17" s="105"/>
      <c r="W17" s="105"/>
      <c r="X17" s="105"/>
      <c r="Y17" s="105"/>
      <c r="Z17" s="105"/>
      <c r="AA17" s="105"/>
      <c r="AB17" s="105"/>
      <c r="AC17" s="105"/>
      <c r="AD17" s="105"/>
    </row>
    <row r="18" spans="2:30" x14ac:dyDescent="0.25">
      <c r="C18" s="88"/>
    </row>
    <row r="19" spans="2:30" x14ac:dyDescent="0.25">
      <c r="C19" s="31" t="str">
        <f ca="1">INDEX('Version control'!$H$34:$H$57,MATCH($A$1,'Version control'!$F$34:$F$57,0),1)&amp;"-A: Adjustments to standing charges"</f>
        <v>Section 101-A: Adjustments to standing charges</v>
      </c>
      <c r="D19" s="31"/>
      <c r="E19" s="31"/>
      <c r="F19" s="31"/>
      <c r="G19" s="31"/>
      <c r="H19" s="31"/>
      <c r="I19" s="31"/>
      <c r="J19" s="31"/>
      <c r="K19" s="31"/>
      <c r="L19" s="31"/>
      <c r="M19" s="31"/>
      <c r="N19" s="31"/>
      <c r="O19" s="31"/>
      <c r="P19" s="31"/>
      <c r="Q19" s="31"/>
      <c r="R19" s="31"/>
      <c r="S19" s="31"/>
      <c r="T19" s="31"/>
      <c r="U19" s="31"/>
      <c r="V19" s="31"/>
      <c r="W19" s="31"/>
      <c r="X19" s="31"/>
      <c r="Y19" s="31"/>
      <c r="Z19" s="31"/>
      <c r="AA19" s="31"/>
      <c r="AB19" s="31"/>
      <c r="AC19" s="31"/>
      <c r="AD19" s="31"/>
    </row>
    <row r="20" spans="2:30" x14ac:dyDescent="0.25">
      <c r="C20" s="88"/>
    </row>
    <row r="21" spans="2:30" x14ac:dyDescent="0.25">
      <c r="D21" s="29" t="s">
        <v>372</v>
      </c>
      <c r="F21" s="2"/>
    </row>
    <row r="22" spans="2:30" x14ac:dyDescent="0.25">
      <c r="D22" s="88"/>
      <c r="F22" s="2"/>
    </row>
    <row r="23" spans="2:30" x14ac:dyDescent="0.25">
      <c r="D23"/>
      <c r="E23" s="32" t="s">
        <v>373</v>
      </c>
      <c r="F23" s="32"/>
      <c r="I23" t="s">
        <v>153</v>
      </c>
      <c r="AD23" t="s">
        <v>202</v>
      </c>
    </row>
    <row r="24" spans="2:30" x14ac:dyDescent="0.25">
      <c r="D24"/>
      <c r="E24" s="29" t="s">
        <v>374</v>
      </c>
    </row>
    <row r="25" spans="2:30" x14ac:dyDescent="0.25">
      <c r="D25" s="88"/>
      <c r="F25" s="23" t="s">
        <v>188</v>
      </c>
      <c r="G25" s="23" t="s">
        <v>166</v>
      </c>
      <c r="H25" s="23"/>
      <c r="I25" s="23"/>
      <c r="J25" s="107">
        <f>'Fixed inputs'!J88</f>
        <v>0</v>
      </c>
      <c r="K25" s="107">
        <f>'Fixed inputs'!K88</f>
        <v>0</v>
      </c>
      <c r="L25" s="107">
        <f>'Fixed inputs'!L88</f>
        <v>0</v>
      </c>
      <c r="M25" s="107">
        <f>'Fixed inputs'!M88</f>
        <v>0</v>
      </c>
      <c r="N25" s="107">
        <f>'Fixed inputs'!N88</f>
        <v>0</v>
      </c>
      <c r="O25" s="107">
        <f>'Fixed inputs'!O88</f>
        <v>0</v>
      </c>
      <c r="P25" s="107">
        <f>'Fixed inputs'!P88</f>
        <v>0</v>
      </c>
      <c r="Q25" s="107">
        <f>'Fixed inputs'!Q88</f>
        <v>0</v>
      </c>
      <c r="R25" s="107">
        <f>'Fixed inputs'!R88</f>
        <v>0</v>
      </c>
      <c r="S25" s="107">
        <f>'Fixed inputs'!S88</f>
        <v>0</v>
      </c>
      <c r="T25" s="107">
        <f>'Fixed inputs'!T88</f>
        <v>0</v>
      </c>
      <c r="U25" s="65"/>
      <c r="V25" s="65"/>
      <c r="W25" s="65"/>
      <c r="X25" s="65"/>
      <c r="Y25" s="65"/>
      <c r="Z25" s="65"/>
      <c r="AA25" s="65"/>
      <c r="AB25" s="65"/>
    </row>
    <row r="26" spans="2:30" x14ac:dyDescent="0.25">
      <c r="D26" s="88"/>
      <c r="F26" t="s">
        <v>190</v>
      </c>
      <c r="G26" t="s">
        <v>166</v>
      </c>
      <c r="J26" s="25">
        <f>'Fixed inputs'!J89</f>
        <v>0</v>
      </c>
      <c r="K26" s="25">
        <f>'Fixed inputs'!K89</f>
        <v>0</v>
      </c>
      <c r="L26" s="25">
        <f>'Fixed inputs'!L89</f>
        <v>0</v>
      </c>
      <c r="M26" s="25">
        <f>'Fixed inputs'!M89</f>
        <v>0</v>
      </c>
      <c r="N26" s="25">
        <f>'Fixed inputs'!N89</f>
        <v>0</v>
      </c>
      <c r="O26" s="25">
        <f>'Fixed inputs'!O89</f>
        <v>0</v>
      </c>
      <c r="P26" s="25">
        <f>'Fixed inputs'!P89</f>
        <v>0</v>
      </c>
      <c r="Q26" s="25">
        <f>'Fixed inputs'!Q89</f>
        <v>0</v>
      </c>
      <c r="R26" s="25">
        <f>'Fixed inputs'!R89</f>
        <v>0</v>
      </c>
      <c r="S26" s="25">
        <f>'Fixed inputs'!S89</f>
        <v>0</v>
      </c>
      <c r="T26" s="25">
        <f>'Fixed inputs'!T89</f>
        <v>0</v>
      </c>
      <c r="U26" s="66"/>
      <c r="V26" s="66"/>
      <c r="W26" s="66"/>
      <c r="X26" s="66"/>
      <c r="Y26" s="66"/>
      <c r="Z26" s="66"/>
      <c r="AA26" s="66"/>
      <c r="AB26" s="66"/>
    </row>
    <row r="27" spans="2:30" x14ac:dyDescent="0.25">
      <c r="D27" s="88"/>
      <c r="F27" t="s">
        <v>191</v>
      </c>
      <c r="G27" t="s">
        <v>166</v>
      </c>
      <c r="J27" s="25">
        <f>'Fixed inputs'!J90</f>
        <v>0</v>
      </c>
      <c r="K27" s="25">
        <f>'Fixed inputs'!K90</f>
        <v>0</v>
      </c>
      <c r="L27" s="25">
        <f>'Fixed inputs'!L90</f>
        <v>0</v>
      </c>
      <c r="M27" s="25">
        <f>'Fixed inputs'!M90</f>
        <v>0</v>
      </c>
      <c r="N27" s="25">
        <f>'Fixed inputs'!N90</f>
        <v>0</v>
      </c>
      <c r="O27" s="25">
        <f>'Fixed inputs'!O90</f>
        <v>0</v>
      </c>
      <c r="P27" s="25">
        <f>'Fixed inputs'!P90</f>
        <v>0</v>
      </c>
      <c r="Q27" s="25">
        <f>'Fixed inputs'!Q90</f>
        <v>0</v>
      </c>
      <c r="R27" s="25">
        <f>'Fixed inputs'!R90</f>
        <v>0</v>
      </c>
      <c r="S27" s="25">
        <f>'Fixed inputs'!S90</f>
        <v>0</v>
      </c>
      <c r="T27" s="25">
        <f>'Fixed inputs'!T90</f>
        <v>0</v>
      </c>
      <c r="U27" s="66"/>
      <c r="V27" s="66"/>
      <c r="W27" s="66"/>
      <c r="X27" s="66"/>
      <c r="Y27" s="66"/>
      <c r="Z27" s="66"/>
      <c r="AA27" s="66"/>
      <c r="AB27" s="66"/>
    </row>
    <row r="28" spans="2:30" x14ac:dyDescent="0.25">
      <c r="D28" s="88"/>
      <c r="F28" t="s">
        <v>192</v>
      </c>
      <c r="G28" t="s">
        <v>166</v>
      </c>
      <c r="J28" s="25">
        <f>'Fixed inputs'!J91</f>
        <v>0</v>
      </c>
      <c r="K28" s="25">
        <f>'Fixed inputs'!K91</f>
        <v>0</v>
      </c>
      <c r="L28" s="25">
        <f>'Fixed inputs'!L91</f>
        <v>0</v>
      </c>
      <c r="M28" s="25">
        <f>'Fixed inputs'!M91</f>
        <v>0</v>
      </c>
      <c r="N28" s="25">
        <f>'Fixed inputs'!N91</f>
        <v>0</v>
      </c>
      <c r="O28" s="25">
        <f>'Fixed inputs'!O91</f>
        <v>0</v>
      </c>
      <c r="P28" s="25">
        <f>'Fixed inputs'!P91</f>
        <v>0</v>
      </c>
      <c r="Q28" s="25">
        <f>'Fixed inputs'!Q91</f>
        <v>0</v>
      </c>
      <c r="R28" s="25">
        <f>'Fixed inputs'!R91</f>
        <v>0</v>
      </c>
      <c r="S28" s="25">
        <f>'Fixed inputs'!S91</f>
        <v>0</v>
      </c>
      <c r="T28" s="25">
        <f>'Fixed inputs'!T91</f>
        <v>0</v>
      </c>
      <c r="U28" s="66"/>
      <c r="V28" s="66"/>
      <c r="W28" s="66"/>
      <c r="X28" s="66"/>
      <c r="Y28" s="66"/>
      <c r="Z28" s="66"/>
      <c r="AA28" s="66"/>
      <c r="AB28" s="66"/>
    </row>
    <row r="29" spans="2:30" x14ac:dyDescent="0.25">
      <c r="D29" s="88"/>
      <c r="F29" t="s">
        <v>193</v>
      </c>
      <c r="G29" t="s">
        <v>166</v>
      </c>
      <c r="J29" s="25">
        <f>'Fixed inputs'!J92</f>
        <v>0</v>
      </c>
      <c r="K29" s="25">
        <f>'Fixed inputs'!K92</f>
        <v>0</v>
      </c>
      <c r="L29" s="25">
        <f>'Fixed inputs'!L92</f>
        <v>0</v>
      </c>
      <c r="M29" s="25">
        <f>'Fixed inputs'!M92</f>
        <v>0</v>
      </c>
      <c r="N29" s="25">
        <f>'Fixed inputs'!N92</f>
        <v>0</v>
      </c>
      <c r="O29" s="25">
        <f>'Fixed inputs'!O92</f>
        <v>0</v>
      </c>
      <c r="P29" s="25">
        <f>'Fixed inputs'!P92</f>
        <v>0.2</v>
      </c>
      <c r="Q29" s="25">
        <f>'Fixed inputs'!Q92</f>
        <v>0</v>
      </c>
      <c r="R29" s="25">
        <f>'Fixed inputs'!R92</f>
        <v>0</v>
      </c>
      <c r="S29" s="25">
        <f>'Fixed inputs'!S92</f>
        <v>0.2</v>
      </c>
      <c r="T29" s="25">
        <f>'Fixed inputs'!T92</f>
        <v>0</v>
      </c>
      <c r="U29" s="66"/>
      <c r="V29" s="66"/>
      <c r="W29" s="66"/>
      <c r="X29" s="66"/>
      <c r="Y29" s="66"/>
      <c r="Z29" s="66"/>
      <c r="AA29" s="66"/>
      <c r="AB29" s="66"/>
    </row>
    <row r="30" spans="2:30" x14ac:dyDescent="0.25">
      <c r="D30" s="88"/>
      <c r="F30" t="s">
        <v>194</v>
      </c>
      <c r="G30" t="s">
        <v>166</v>
      </c>
      <c r="J30" s="25">
        <f>'Fixed inputs'!J93</f>
        <v>0</v>
      </c>
      <c r="K30" s="25">
        <f>'Fixed inputs'!K93</f>
        <v>0</v>
      </c>
      <c r="L30" s="25">
        <f>'Fixed inputs'!L93</f>
        <v>0</v>
      </c>
      <c r="M30" s="25">
        <f>'Fixed inputs'!M93</f>
        <v>0</v>
      </c>
      <c r="N30" s="25">
        <f>'Fixed inputs'!N93</f>
        <v>0</v>
      </c>
      <c r="O30" s="25">
        <f>'Fixed inputs'!O93</f>
        <v>0</v>
      </c>
      <c r="P30" s="25">
        <f>'Fixed inputs'!P93</f>
        <v>1</v>
      </c>
      <c r="Q30" s="25">
        <f>'Fixed inputs'!Q93</f>
        <v>0</v>
      </c>
      <c r="R30" s="25">
        <f>'Fixed inputs'!R93</f>
        <v>0</v>
      </c>
      <c r="S30" s="25">
        <f>'Fixed inputs'!S93</f>
        <v>1</v>
      </c>
      <c r="T30" s="25">
        <f>'Fixed inputs'!T93</f>
        <v>0</v>
      </c>
      <c r="U30" s="66"/>
      <c r="V30" s="66"/>
      <c r="W30" s="66"/>
      <c r="X30" s="66"/>
      <c r="Y30" s="66"/>
      <c r="Z30" s="66"/>
      <c r="AA30" s="66"/>
      <c r="AB30" s="66"/>
    </row>
    <row r="31" spans="2:30" x14ac:dyDescent="0.25">
      <c r="D31" s="88"/>
      <c r="F31" t="s">
        <v>195</v>
      </c>
      <c r="G31" t="s">
        <v>166</v>
      </c>
      <c r="J31" s="25">
        <f>'Fixed inputs'!J94</f>
        <v>0</v>
      </c>
      <c r="K31" s="25">
        <f>'Fixed inputs'!K94</f>
        <v>0</v>
      </c>
      <c r="L31" s="25">
        <f>'Fixed inputs'!L94</f>
        <v>0</v>
      </c>
      <c r="M31" s="25">
        <f>'Fixed inputs'!M94</f>
        <v>0</v>
      </c>
      <c r="N31" s="25">
        <f>'Fixed inputs'!N94</f>
        <v>0</v>
      </c>
      <c r="O31" s="25">
        <f>'Fixed inputs'!O94</f>
        <v>0</v>
      </c>
      <c r="P31" s="25">
        <f>'Fixed inputs'!P94</f>
        <v>0</v>
      </c>
      <c r="Q31" s="25">
        <f>'Fixed inputs'!Q94</f>
        <v>0</v>
      </c>
      <c r="R31" s="25">
        <f>'Fixed inputs'!R94</f>
        <v>0</v>
      </c>
      <c r="S31" s="25">
        <f>'Fixed inputs'!S94</f>
        <v>0</v>
      </c>
      <c r="T31" s="25">
        <f>'Fixed inputs'!T94</f>
        <v>0</v>
      </c>
      <c r="U31" s="66"/>
      <c r="V31" s="66"/>
      <c r="W31" s="66"/>
      <c r="X31" s="66"/>
      <c r="Y31" s="66"/>
      <c r="Z31" s="66"/>
      <c r="AA31" s="66"/>
      <c r="AB31" s="66"/>
    </row>
    <row r="32" spans="2:30" x14ac:dyDescent="0.25">
      <c r="D32" s="88"/>
      <c r="F32" t="s">
        <v>196</v>
      </c>
      <c r="G32" t="s">
        <v>166</v>
      </c>
      <c r="J32" s="25">
        <f>'Fixed inputs'!J95</f>
        <v>0</v>
      </c>
      <c r="K32" s="25">
        <f>'Fixed inputs'!K95</f>
        <v>0</v>
      </c>
      <c r="L32" s="25">
        <f>'Fixed inputs'!L95</f>
        <v>0</v>
      </c>
      <c r="M32" s="25">
        <f>'Fixed inputs'!M95</f>
        <v>0</v>
      </c>
      <c r="N32" s="25">
        <f>'Fixed inputs'!N95</f>
        <v>0.2</v>
      </c>
      <c r="O32" s="25">
        <f>'Fixed inputs'!O95</f>
        <v>1</v>
      </c>
      <c r="P32" s="25">
        <f>'Fixed inputs'!P95</f>
        <v>1</v>
      </c>
      <c r="Q32" s="25">
        <f>'Fixed inputs'!Q95</f>
        <v>0.2</v>
      </c>
      <c r="R32" s="25">
        <f>'Fixed inputs'!R95</f>
        <v>1</v>
      </c>
      <c r="S32" s="25">
        <f>'Fixed inputs'!S95</f>
        <v>1</v>
      </c>
      <c r="T32" s="25">
        <f>'Fixed inputs'!T95</f>
        <v>0</v>
      </c>
      <c r="U32" s="66"/>
      <c r="V32" s="66"/>
      <c r="W32" s="66"/>
      <c r="X32" s="66"/>
      <c r="Y32" s="66"/>
      <c r="Z32" s="66"/>
      <c r="AA32" s="66"/>
      <c r="AB32" s="66"/>
    </row>
    <row r="33" spans="4:30" x14ac:dyDescent="0.25">
      <c r="D33" s="88"/>
      <c r="F33" t="s">
        <v>197</v>
      </c>
      <c r="G33" t="s">
        <v>166</v>
      </c>
      <c r="J33" s="25">
        <f>'Fixed inputs'!J96</f>
        <v>0</v>
      </c>
      <c r="K33" s="25">
        <f>'Fixed inputs'!K96</f>
        <v>0</v>
      </c>
      <c r="L33" s="25">
        <f>'Fixed inputs'!L96</f>
        <v>0</v>
      </c>
      <c r="M33" s="25">
        <f>'Fixed inputs'!M96</f>
        <v>0</v>
      </c>
      <c r="N33" s="25">
        <f>'Fixed inputs'!N96</f>
        <v>1</v>
      </c>
      <c r="O33" s="25">
        <f>'Fixed inputs'!O96</f>
        <v>1</v>
      </c>
      <c r="P33" s="25">
        <f>'Fixed inputs'!P96</f>
        <v>0</v>
      </c>
      <c r="Q33" s="25">
        <f>'Fixed inputs'!Q96</f>
        <v>1</v>
      </c>
      <c r="R33" s="25">
        <f>'Fixed inputs'!R96</f>
        <v>1</v>
      </c>
      <c r="S33" s="25">
        <f>'Fixed inputs'!S96</f>
        <v>0</v>
      </c>
      <c r="T33" s="25">
        <f>'Fixed inputs'!T96</f>
        <v>0</v>
      </c>
      <c r="U33" s="66"/>
      <c r="V33" s="66"/>
      <c r="W33" s="66"/>
      <c r="X33" s="66"/>
      <c r="Y33" s="66"/>
      <c r="Z33" s="66"/>
      <c r="AA33" s="66"/>
      <c r="AB33" s="66"/>
    </row>
    <row r="34" spans="4:30" x14ac:dyDescent="0.25">
      <c r="D34" s="88"/>
      <c r="F34" t="s">
        <v>198</v>
      </c>
      <c r="G34" t="s">
        <v>166</v>
      </c>
      <c r="J34" s="25">
        <f>'Fixed inputs'!J97</f>
        <v>1</v>
      </c>
      <c r="K34" s="25">
        <f>'Fixed inputs'!K97</f>
        <v>1</v>
      </c>
      <c r="L34" s="25">
        <f>'Fixed inputs'!L97</f>
        <v>1</v>
      </c>
      <c r="M34" s="25">
        <f>'Fixed inputs'!M97</f>
        <v>1</v>
      </c>
      <c r="N34" s="25">
        <f>'Fixed inputs'!N97</f>
        <v>1</v>
      </c>
      <c r="O34" s="25">
        <f>'Fixed inputs'!O97</f>
        <v>0</v>
      </c>
      <c r="P34" s="25">
        <f>'Fixed inputs'!P97</f>
        <v>0</v>
      </c>
      <c r="Q34" s="25">
        <f>'Fixed inputs'!Q97</f>
        <v>1</v>
      </c>
      <c r="R34" s="25">
        <f>'Fixed inputs'!R97</f>
        <v>0</v>
      </c>
      <c r="S34" s="25">
        <f>'Fixed inputs'!S97</f>
        <v>0</v>
      </c>
      <c r="T34" s="25">
        <f>'Fixed inputs'!T97</f>
        <v>0</v>
      </c>
      <c r="U34" s="66"/>
      <c r="V34" s="66"/>
      <c r="W34" s="66"/>
      <c r="X34" s="66"/>
      <c r="Y34" s="66"/>
      <c r="Z34" s="66"/>
      <c r="AA34" s="66"/>
      <c r="AB34" s="66"/>
    </row>
    <row r="35" spans="4:30" x14ac:dyDescent="0.25">
      <c r="D35" s="88"/>
      <c r="F35" t="s">
        <v>375</v>
      </c>
      <c r="G35" t="s">
        <v>166</v>
      </c>
      <c r="J35" s="66"/>
      <c r="K35" s="66"/>
      <c r="L35" s="66"/>
      <c r="M35" s="66"/>
      <c r="N35" s="66"/>
      <c r="O35" s="66"/>
      <c r="P35" s="66"/>
      <c r="Q35" s="66"/>
      <c r="R35" s="66"/>
      <c r="S35" s="66"/>
      <c r="T35" s="66"/>
      <c r="U35" s="66"/>
      <c r="V35" s="66"/>
      <c r="W35" s="66"/>
      <c r="X35" s="66"/>
      <c r="Y35" s="66"/>
      <c r="Z35" s="66"/>
      <c r="AA35" s="66"/>
      <c r="AB35" s="66"/>
    </row>
    <row r="36" spans="4:30" x14ac:dyDescent="0.25">
      <c r="D36" s="88"/>
      <c r="F36" s="37" t="s">
        <v>376</v>
      </c>
      <c r="G36" s="37" t="s">
        <v>166</v>
      </c>
      <c r="H36" s="37"/>
      <c r="I36" s="37"/>
      <c r="J36" s="68"/>
      <c r="K36" s="68"/>
      <c r="L36" s="68"/>
      <c r="M36" s="68"/>
      <c r="N36" s="68"/>
      <c r="O36" s="68"/>
      <c r="P36" s="68"/>
      <c r="Q36" s="68"/>
      <c r="R36" s="68"/>
      <c r="S36" s="68"/>
      <c r="T36" s="68"/>
      <c r="U36" s="68"/>
      <c r="V36" s="68"/>
      <c r="W36" s="68"/>
      <c r="X36" s="68"/>
      <c r="Y36" s="68"/>
      <c r="Z36" s="68"/>
      <c r="AA36" s="68"/>
      <c r="AB36" s="68"/>
    </row>
    <row r="37" spans="4:30" x14ac:dyDescent="0.25">
      <c r="D37" s="88"/>
      <c r="F37" s="2"/>
    </row>
    <row r="38" spans="4:30" x14ac:dyDescent="0.25">
      <c r="D38"/>
      <c r="E38" s="32" t="s">
        <v>280</v>
      </c>
      <c r="F38" s="2"/>
    </row>
    <row r="39" spans="4:30" x14ac:dyDescent="0.25">
      <c r="D39" s="88"/>
      <c r="E39"/>
      <c r="F39" s="28" t="s">
        <v>280</v>
      </c>
      <c r="G39" s="28" t="s">
        <v>166</v>
      </c>
      <c r="H39" s="25">
        <f>'Inputs by network level'!P17</f>
        <v>0</v>
      </c>
    </row>
    <row r="40" spans="4:30" x14ac:dyDescent="0.25">
      <c r="D40" s="88"/>
      <c r="F40" s="2"/>
    </row>
    <row r="41" spans="4:30" x14ac:dyDescent="0.25">
      <c r="D41"/>
      <c r="E41" s="32" t="s">
        <v>377</v>
      </c>
      <c r="F41" s="32"/>
    </row>
    <row r="42" spans="4:30" x14ac:dyDescent="0.25">
      <c r="D42"/>
      <c r="E42" s="29" t="s">
        <v>378</v>
      </c>
    </row>
    <row r="43" spans="4:30" x14ac:dyDescent="0.25">
      <c r="D43" s="88"/>
      <c r="F43" s="23" t="s">
        <v>188</v>
      </c>
      <c r="G43" s="23" t="s">
        <v>166</v>
      </c>
      <c r="H43" s="23"/>
      <c r="I43" s="23"/>
      <c r="J43" s="65"/>
      <c r="K43" s="65"/>
      <c r="L43" s="65"/>
      <c r="M43" s="65"/>
      <c r="N43" s="65"/>
      <c r="O43" s="65"/>
      <c r="P43" s="65"/>
      <c r="Q43" s="65"/>
      <c r="R43" s="65"/>
      <c r="S43" s="65"/>
      <c r="T43" s="65"/>
      <c r="U43" s="65"/>
      <c r="V43" s="65"/>
      <c r="W43" s="65"/>
      <c r="X43" s="65"/>
      <c r="Y43" s="65"/>
      <c r="Z43" s="65"/>
      <c r="AA43" s="65"/>
      <c r="AB43" s="65"/>
    </row>
    <row r="44" spans="4:30" x14ac:dyDescent="0.25">
      <c r="D44" s="88"/>
      <c r="F44" t="s">
        <v>190</v>
      </c>
      <c r="G44" t="s">
        <v>166</v>
      </c>
      <c r="J44" s="66"/>
      <c r="K44" s="66"/>
      <c r="L44" s="66"/>
      <c r="M44" s="66"/>
      <c r="N44" s="66"/>
      <c r="O44" s="66"/>
      <c r="P44" s="66"/>
      <c r="Q44" s="66"/>
      <c r="R44" s="66"/>
      <c r="S44" s="66"/>
      <c r="T44" s="66"/>
      <c r="U44" s="66"/>
      <c r="V44" s="66"/>
      <c r="W44" s="66"/>
      <c r="X44" s="66"/>
      <c r="Y44" s="66"/>
      <c r="Z44" s="66"/>
      <c r="AA44" s="66"/>
      <c r="AB44" s="66"/>
    </row>
    <row r="45" spans="4:30" x14ac:dyDescent="0.25">
      <c r="D45" s="88"/>
      <c r="F45" s="108" t="s">
        <v>191</v>
      </c>
      <c r="G45" s="108" t="s">
        <v>166</v>
      </c>
      <c r="H45" s="108"/>
      <c r="I45" s="108" t="s">
        <v>153</v>
      </c>
      <c r="J45" s="109">
        <f>IF($H$39 = 0, J27, J29 * $H$39)</f>
        <v>0</v>
      </c>
      <c r="K45" s="109">
        <f t="shared" ref="K45:T45" si="0">IF($H$39 = 0, K27, K29 * $H$39)</f>
        <v>0</v>
      </c>
      <c r="L45" s="109">
        <f t="shared" si="0"/>
        <v>0</v>
      </c>
      <c r="M45" s="109">
        <f t="shared" si="0"/>
        <v>0</v>
      </c>
      <c r="N45" s="109">
        <f t="shared" si="0"/>
        <v>0</v>
      </c>
      <c r="O45" s="109">
        <f t="shared" si="0"/>
        <v>0</v>
      </c>
      <c r="P45" s="109">
        <f t="shared" si="0"/>
        <v>0</v>
      </c>
      <c r="Q45" s="109">
        <f t="shared" ref="Q45:S45" si="1">IF($H$39 = 0, Q27, Q29 * $H$39)</f>
        <v>0</v>
      </c>
      <c r="R45" s="109">
        <f t="shared" si="1"/>
        <v>0</v>
      </c>
      <c r="S45" s="109">
        <f t="shared" si="1"/>
        <v>0</v>
      </c>
      <c r="T45" s="109">
        <f t="shared" si="0"/>
        <v>0</v>
      </c>
      <c r="U45" s="110"/>
      <c r="V45" s="110"/>
      <c r="W45" s="110"/>
      <c r="X45" s="110"/>
      <c r="Y45" s="110"/>
      <c r="Z45" s="110"/>
      <c r="AA45" s="110"/>
      <c r="AB45" s="110"/>
      <c r="AD45" t="s">
        <v>379</v>
      </c>
    </row>
    <row r="46" spans="4:30" x14ac:dyDescent="0.25">
      <c r="D46" s="88"/>
      <c r="F46" t="s">
        <v>192</v>
      </c>
      <c r="G46" t="s">
        <v>166</v>
      </c>
      <c r="J46" s="111">
        <f t="shared" ref="J46:T46" si="2">J28</f>
        <v>0</v>
      </c>
      <c r="K46" s="111">
        <f t="shared" si="2"/>
        <v>0</v>
      </c>
      <c r="L46" s="111">
        <f t="shared" si="2"/>
        <v>0</v>
      </c>
      <c r="M46" s="111">
        <f t="shared" si="2"/>
        <v>0</v>
      </c>
      <c r="N46" s="111">
        <f t="shared" si="2"/>
        <v>0</v>
      </c>
      <c r="O46" s="111">
        <f t="shared" si="2"/>
        <v>0</v>
      </c>
      <c r="P46" s="111">
        <f t="shared" si="2"/>
        <v>0</v>
      </c>
      <c r="Q46" s="111">
        <f t="shared" ref="Q46:S46" si="3">Q28</f>
        <v>0</v>
      </c>
      <c r="R46" s="111">
        <f t="shared" si="3"/>
        <v>0</v>
      </c>
      <c r="S46" s="111">
        <f t="shared" si="3"/>
        <v>0</v>
      </c>
      <c r="T46" s="111">
        <f t="shared" si="2"/>
        <v>0</v>
      </c>
      <c r="U46" s="66"/>
      <c r="V46" s="66"/>
      <c r="W46" s="66"/>
      <c r="X46" s="66"/>
      <c r="Y46" s="66"/>
      <c r="Z46" s="66"/>
      <c r="AA46" s="66"/>
      <c r="AB46" s="66"/>
    </row>
    <row r="47" spans="4:30" x14ac:dyDescent="0.25">
      <c r="D47" s="88"/>
      <c r="F47" t="s">
        <v>193</v>
      </c>
      <c r="G47" t="s">
        <v>166</v>
      </c>
      <c r="J47" s="111">
        <f t="shared" ref="J47:T47" si="4">J29</f>
        <v>0</v>
      </c>
      <c r="K47" s="111">
        <f t="shared" si="4"/>
        <v>0</v>
      </c>
      <c r="L47" s="111">
        <f t="shared" si="4"/>
        <v>0</v>
      </c>
      <c r="M47" s="111">
        <f t="shared" si="4"/>
        <v>0</v>
      </c>
      <c r="N47" s="111">
        <f t="shared" si="4"/>
        <v>0</v>
      </c>
      <c r="O47" s="111">
        <f t="shared" si="4"/>
        <v>0</v>
      </c>
      <c r="P47" s="111">
        <f t="shared" si="4"/>
        <v>0.2</v>
      </c>
      <c r="Q47" s="111">
        <f t="shared" ref="Q47:S47" si="5">Q29</f>
        <v>0</v>
      </c>
      <c r="R47" s="111">
        <f t="shared" si="5"/>
        <v>0</v>
      </c>
      <c r="S47" s="111">
        <f t="shared" si="5"/>
        <v>0.2</v>
      </c>
      <c r="T47" s="111">
        <f t="shared" si="4"/>
        <v>0</v>
      </c>
      <c r="U47" s="66"/>
      <c r="V47" s="66"/>
      <c r="W47" s="66"/>
      <c r="X47" s="66"/>
      <c r="Y47" s="66"/>
      <c r="Z47" s="66"/>
      <c r="AA47" s="66"/>
      <c r="AB47" s="66"/>
    </row>
    <row r="48" spans="4:30" x14ac:dyDescent="0.25">
      <c r="D48" s="88"/>
      <c r="F48" t="s">
        <v>194</v>
      </c>
      <c r="G48" t="s">
        <v>166</v>
      </c>
      <c r="J48" s="111">
        <f t="shared" ref="J48:T48" si="6">J30</f>
        <v>0</v>
      </c>
      <c r="K48" s="111">
        <f t="shared" si="6"/>
        <v>0</v>
      </c>
      <c r="L48" s="111">
        <f t="shared" si="6"/>
        <v>0</v>
      </c>
      <c r="M48" s="111">
        <f t="shared" si="6"/>
        <v>0</v>
      </c>
      <c r="N48" s="111">
        <f t="shared" si="6"/>
        <v>0</v>
      </c>
      <c r="O48" s="111">
        <f t="shared" si="6"/>
        <v>0</v>
      </c>
      <c r="P48" s="111">
        <f t="shared" si="6"/>
        <v>1</v>
      </c>
      <c r="Q48" s="111">
        <f t="shared" ref="Q48:S48" si="7">Q30</f>
        <v>0</v>
      </c>
      <c r="R48" s="111">
        <f t="shared" si="7"/>
        <v>0</v>
      </c>
      <c r="S48" s="111">
        <f t="shared" si="7"/>
        <v>1</v>
      </c>
      <c r="T48" s="111">
        <f t="shared" si="6"/>
        <v>0</v>
      </c>
      <c r="U48" s="66"/>
      <c r="V48" s="66"/>
      <c r="W48" s="66"/>
      <c r="X48" s="66"/>
      <c r="Y48" s="66"/>
      <c r="Z48" s="66"/>
      <c r="AA48" s="66"/>
      <c r="AB48" s="66"/>
    </row>
    <row r="49" spans="2:30" x14ac:dyDescent="0.25">
      <c r="D49" s="88"/>
      <c r="F49" s="108" t="s">
        <v>195</v>
      </c>
      <c r="G49" s="108" t="s">
        <v>166</v>
      </c>
      <c r="H49" s="108"/>
      <c r="I49" s="108" t="s">
        <v>153</v>
      </c>
      <c r="J49" s="109">
        <f t="shared" ref="J49:T49" si="8">J30</f>
        <v>0</v>
      </c>
      <c r="K49" s="109">
        <f t="shared" si="8"/>
        <v>0</v>
      </c>
      <c r="L49" s="109">
        <f t="shared" si="8"/>
        <v>0</v>
      </c>
      <c r="M49" s="109">
        <f t="shared" si="8"/>
        <v>0</v>
      </c>
      <c r="N49" s="109">
        <f t="shared" si="8"/>
        <v>0</v>
      </c>
      <c r="O49" s="109">
        <f t="shared" si="8"/>
        <v>0</v>
      </c>
      <c r="P49" s="109">
        <f t="shared" si="8"/>
        <v>1</v>
      </c>
      <c r="Q49" s="109">
        <f t="shared" ref="Q49:S49" si="9">Q30</f>
        <v>0</v>
      </c>
      <c r="R49" s="109">
        <f t="shared" si="9"/>
        <v>0</v>
      </c>
      <c r="S49" s="109">
        <f t="shared" si="9"/>
        <v>1</v>
      </c>
      <c r="T49" s="109">
        <f t="shared" si="8"/>
        <v>0</v>
      </c>
      <c r="U49" s="110"/>
      <c r="V49" s="110"/>
      <c r="W49" s="110"/>
      <c r="X49" s="110"/>
      <c r="Y49" s="110"/>
      <c r="Z49" s="110"/>
      <c r="AA49" s="110"/>
      <c r="AB49" s="110"/>
      <c r="AD49" t="s">
        <v>380</v>
      </c>
    </row>
    <row r="50" spans="2:30" x14ac:dyDescent="0.25">
      <c r="D50" s="88"/>
      <c r="F50" t="s">
        <v>196</v>
      </c>
      <c r="G50" t="s">
        <v>166</v>
      </c>
      <c r="J50" s="111">
        <f t="shared" ref="J50:T50" si="10">J32</f>
        <v>0</v>
      </c>
      <c r="K50" s="111">
        <f t="shared" si="10"/>
        <v>0</v>
      </c>
      <c r="L50" s="111">
        <f t="shared" si="10"/>
        <v>0</v>
      </c>
      <c r="M50" s="111">
        <f t="shared" si="10"/>
        <v>0</v>
      </c>
      <c r="N50" s="111">
        <f t="shared" si="10"/>
        <v>0.2</v>
      </c>
      <c r="O50" s="111">
        <f t="shared" si="10"/>
        <v>1</v>
      </c>
      <c r="P50" s="111">
        <f t="shared" si="10"/>
        <v>1</v>
      </c>
      <c r="Q50" s="111">
        <f t="shared" ref="Q50:S50" si="11">Q32</f>
        <v>0.2</v>
      </c>
      <c r="R50" s="111">
        <f t="shared" si="11"/>
        <v>1</v>
      </c>
      <c r="S50" s="111">
        <f t="shared" si="11"/>
        <v>1</v>
      </c>
      <c r="T50" s="111">
        <f t="shared" si="10"/>
        <v>0</v>
      </c>
      <c r="U50" s="66"/>
      <c r="V50" s="66"/>
      <c r="W50" s="66"/>
      <c r="X50" s="66"/>
      <c r="Y50" s="66"/>
      <c r="Z50" s="66"/>
      <c r="AA50" s="66"/>
      <c r="AB50" s="66"/>
    </row>
    <row r="51" spans="2:30" x14ac:dyDescent="0.25">
      <c r="D51" s="88"/>
      <c r="F51" t="s">
        <v>197</v>
      </c>
      <c r="G51" t="s">
        <v>166</v>
      </c>
      <c r="J51" s="111">
        <f t="shared" ref="J51:T51" si="12">J33</f>
        <v>0</v>
      </c>
      <c r="K51" s="111">
        <f t="shared" si="12"/>
        <v>0</v>
      </c>
      <c r="L51" s="111">
        <f t="shared" si="12"/>
        <v>0</v>
      </c>
      <c r="M51" s="111">
        <f t="shared" si="12"/>
        <v>0</v>
      </c>
      <c r="N51" s="111">
        <f t="shared" si="12"/>
        <v>1</v>
      </c>
      <c r="O51" s="111">
        <f t="shared" si="12"/>
        <v>1</v>
      </c>
      <c r="P51" s="111">
        <f t="shared" si="12"/>
        <v>0</v>
      </c>
      <c r="Q51" s="111">
        <f t="shared" ref="Q51:S51" si="13">Q33</f>
        <v>1</v>
      </c>
      <c r="R51" s="111">
        <f t="shared" si="13"/>
        <v>1</v>
      </c>
      <c r="S51" s="111">
        <f t="shared" si="13"/>
        <v>0</v>
      </c>
      <c r="T51" s="111">
        <f t="shared" si="12"/>
        <v>0</v>
      </c>
      <c r="U51" s="66"/>
      <c r="V51" s="66"/>
      <c r="W51" s="66"/>
      <c r="X51" s="66"/>
      <c r="Y51" s="66"/>
      <c r="Z51" s="66"/>
      <c r="AA51" s="66"/>
      <c r="AB51" s="66"/>
    </row>
    <row r="52" spans="2:30" x14ac:dyDescent="0.25">
      <c r="D52" s="88"/>
      <c r="F52" t="s">
        <v>198</v>
      </c>
      <c r="G52" t="s">
        <v>166</v>
      </c>
      <c r="J52" s="111">
        <f t="shared" ref="J52:T52" si="14">J34</f>
        <v>1</v>
      </c>
      <c r="K52" s="111">
        <f t="shared" si="14"/>
        <v>1</v>
      </c>
      <c r="L52" s="111">
        <f t="shared" si="14"/>
        <v>1</v>
      </c>
      <c r="M52" s="111">
        <f t="shared" si="14"/>
        <v>1</v>
      </c>
      <c r="N52" s="111">
        <f t="shared" si="14"/>
        <v>1</v>
      </c>
      <c r="O52" s="111">
        <f t="shared" si="14"/>
        <v>0</v>
      </c>
      <c r="P52" s="111">
        <f t="shared" si="14"/>
        <v>0</v>
      </c>
      <c r="Q52" s="111">
        <f t="shared" ref="Q52:S52" si="15">Q34</f>
        <v>1</v>
      </c>
      <c r="R52" s="111">
        <f t="shared" si="15"/>
        <v>0</v>
      </c>
      <c r="S52" s="111">
        <f t="shared" si="15"/>
        <v>0</v>
      </c>
      <c r="T52" s="111">
        <f t="shared" si="14"/>
        <v>0</v>
      </c>
      <c r="U52" s="66"/>
      <c r="V52" s="66"/>
      <c r="W52" s="66"/>
      <c r="X52" s="66"/>
      <c r="Y52" s="66"/>
      <c r="Z52" s="66"/>
      <c r="AA52" s="66"/>
      <c r="AB52" s="66"/>
    </row>
    <row r="53" spans="2:30" x14ac:dyDescent="0.25">
      <c r="D53" s="88"/>
      <c r="F53" t="s">
        <v>375</v>
      </c>
      <c r="G53" t="s">
        <v>166</v>
      </c>
      <c r="J53" s="66"/>
      <c r="K53" s="66"/>
      <c r="L53" s="66"/>
      <c r="M53" s="66"/>
      <c r="N53" s="66"/>
      <c r="O53" s="66"/>
      <c r="P53" s="66"/>
      <c r="Q53" s="66"/>
      <c r="R53" s="66"/>
      <c r="S53" s="66"/>
      <c r="T53" s="66"/>
      <c r="U53" s="66"/>
      <c r="V53" s="66"/>
      <c r="W53" s="66"/>
      <c r="X53" s="66"/>
      <c r="Y53" s="66"/>
      <c r="Z53" s="66"/>
      <c r="AA53" s="66"/>
      <c r="AB53" s="66"/>
    </row>
    <row r="54" spans="2:30" x14ac:dyDescent="0.25">
      <c r="D54" s="88"/>
      <c r="F54" s="37" t="s">
        <v>376</v>
      </c>
      <c r="G54" s="37" t="s">
        <v>166</v>
      </c>
      <c r="H54" s="37"/>
      <c r="I54" s="37"/>
      <c r="J54" s="68"/>
      <c r="K54" s="68"/>
      <c r="L54" s="68"/>
      <c r="M54" s="68"/>
      <c r="N54" s="68"/>
      <c r="O54" s="68"/>
      <c r="P54" s="68"/>
      <c r="Q54" s="68"/>
      <c r="R54" s="68"/>
      <c r="S54" s="68"/>
      <c r="T54" s="68"/>
      <c r="U54" s="68"/>
      <c r="V54" s="68"/>
      <c r="W54" s="68"/>
      <c r="X54" s="68"/>
      <c r="Y54" s="68"/>
      <c r="Z54" s="68"/>
      <c r="AA54" s="68"/>
      <c r="AB54" s="68"/>
    </row>
    <row r="55" spans="2:30" x14ac:dyDescent="0.25">
      <c r="C55" s="88"/>
    </row>
    <row r="56" spans="2:30" x14ac:dyDescent="0.25">
      <c r="B56" s="30" t="s">
        <v>230</v>
      </c>
      <c r="C56" s="30"/>
      <c r="D56" s="105"/>
      <c r="E56" s="105"/>
      <c r="F56" s="105"/>
      <c r="G56" s="105"/>
      <c r="H56" s="105"/>
      <c r="I56" s="105"/>
      <c r="J56" s="105"/>
      <c r="K56" s="105"/>
      <c r="L56" s="105"/>
      <c r="M56" s="105"/>
      <c r="N56" s="105"/>
      <c r="O56" s="105"/>
      <c r="P56" s="105"/>
      <c r="Q56" s="105"/>
      <c r="R56" s="105"/>
      <c r="S56" s="105"/>
      <c r="T56" s="105"/>
      <c r="U56" s="105"/>
      <c r="V56" s="105"/>
      <c r="W56" s="105"/>
      <c r="X56" s="105"/>
      <c r="Y56" s="105"/>
      <c r="Z56" s="105"/>
      <c r="AA56" s="105"/>
      <c r="AB56" s="105"/>
      <c r="AC56" s="105"/>
      <c r="AD56" s="105"/>
    </row>
    <row r="57" spans="2:30" x14ac:dyDescent="0.25">
      <c r="D57"/>
      <c r="E57"/>
    </row>
    <row r="58" spans="2:30" x14ac:dyDescent="0.25">
      <c r="D58"/>
      <c r="E58" t="s">
        <v>231</v>
      </c>
      <c r="G58" s="6" t="s">
        <v>54</v>
      </c>
      <c r="H58" s="26">
        <f t="array" ref="H58">SUM(IF(ISERROR(H25:AB54), 1))</f>
        <v>0</v>
      </c>
    </row>
    <row r="59" spans="2:30" x14ac:dyDescent="0.25">
      <c r="D59"/>
      <c r="E59"/>
    </row>
    <row r="60" spans="2:30" x14ac:dyDescent="0.25">
      <c r="B60" s="30" t="s">
        <v>105</v>
      </c>
      <c r="C60" s="104"/>
      <c r="D60" s="112"/>
      <c r="E60" s="112"/>
      <c r="F60" s="104"/>
      <c r="G60" s="104"/>
      <c r="H60" s="104"/>
      <c r="I60" s="104"/>
      <c r="J60" s="104"/>
      <c r="K60" s="104"/>
      <c r="L60" s="104"/>
      <c r="M60" s="104"/>
      <c r="N60" s="104"/>
      <c r="O60" s="104"/>
      <c r="P60" s="104"/>
      <c r="Q60" s="104"/>
      <c r="R60" s="104"/>
      <c r="S60" s="104"/>
      <c r="T60" s="104"/>
      <c r="U60" s="104"/>
      <c r="V60" s="104"/>
      <c r="W60" s="104"/>
      <c r="X60" s="104"/>
      <c r="Y60" s="104"/>
      <c r="Z60" s="104"/>
      <c r="AA60" s="104"/>
      <c r="AB60" s="104"/>
      <c r="AC60" s="105"/>
      <c r="AD60" s="105"/>
    </row>
  </sheetData>
  <sheetProtection sheet="1" objects="1" formatCells="0" formatColumns="0" formatRows="0" sort="0" autoFilter="0"/>
  <conditionalFormatting sqref="H58">
    <cfRule type="cellIs" dxfId="181" priority="10" operator="greaterThan">
      <formula>0</formula>
    </cfRule>
  </conditionalFormatting>
  <conditionalFormatting sqref="A4:I4 AC4:XFD4">
    <cfRule type="expression" dxfId="180" priority="9">
      <formula>LEFT($A$4,1) &lt;&gt; "0"</formula>
    </cfRule>
  </conditionalFormatting>
  <conditionalFormatting sqref="N4:S4">
    <cfRule type="expression" dxfId="179" priority="8">
      <formula>LEFT($A$4,1) &lt;&gt; "0"</formula>
    </cfRule>
  </conditionalFormatting>
  <conditionalFormatting sqref="L4:M4">
    <cfRule type="expression" dxfId="178" priority="7">
      <formula>LEFT($A$4,1) &lt;&gt; "0"</formula>
    </cfRule>
  </conditionalFormatting>
  <conditionalFormatting sqref="J4:K4">
    <cfRule type="expression" dxfId="177" priority="6">
      <formula>LEFT($A$4,1) &lt;&gt; "0"</formula>
    </cfRule>
  </conditionalFormatting>
  <conditionalFormatting sqref="T4">
    <cfRule type="expression" dxfId="176" priority="5">
      <formula>LEFT($A$4,1) &lt;&gt; "0"</formula>
    </cfRule>
  </conditionalFormatting>
  <conditionalFormatting sqref="U4:V4">
    <cfRule type="expression" dxfId="175" priority="4">
      <formula>LEFT($A$4,1) &lt;&gt; "0"</formula>
    </cfRule>
  </conditionalFormatting>
  <conditionalFormatting sqref="W4:X4">
    <cfRule type="expression" dxfId="174" priority="3">
      <formula>LEFT($A$4,1) &lt;&gt; "0"</formula>
    </cfRule>
  </conditionalFormatting>
  <conditionalFormatting sqref="Y4:Z4">
    <cfRule type="expression" dxfId="173" priority="2">
      <formula>LEFT($A$4,1) &lt;&gt; "0"</formula>
    </cfRule>
  </conditionalFormatting>
  <conditionalFormatting sqref="AA4:AB4">
    <cfRule type="expression" dxfId="172" priority="1">
      <formula>LEFT($A$4,1) &lt;&gt; "0"</formula>
    </cfRule>
  </conditionalFormatting>
  <hyperlinks>
    <hyperlink ref="B5:F5" location="'Model map'!A1" display="Click here to return to model map" xr:uid="{00000000-0004-0000-0900-000000000000}"/>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4">
    <tabColor theme="4" tint="0.59999389629810485"/>
    <pageSetUpPr fitToPage="1"/>
  </sheetPr>
  <dimension ref="A1:JF206"/>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42" width="17" hidden="1" customWidth="1"/>
    <col min="43" max="43" width="2.42578125" hidden="1" customWidth="1"/>
    <col min="44" max="44" width="18.42578125" hidden="1" customWidth="1"/>
    <col min="45" max="45" width="4.42578125" hidden="1" customWidth="1"/>
    <col min="46" max="266" width="24.5703125" hidden="1" customWidth="1"/>
    <col min="267" max="16384" width="8.7109375" hidden="1"/>
  </cols>
  <sheetData>
    <row r="1" spans="1:23" s="1" customFormat="1" x14ac:dyDescent="0.25">
      <c r="A1" s="1" t="str">
        <f ca="1">MID(CELL("filename",A1),FIND("]",CELL("filename",A1))+1,255)</f>
        <v>Load &amp; loss characteristics</v>
      </c>
    </row>
    <row r="2" spans="1:23" s="1" customFormat="1" x14ac:dyDescent="0.25">
      <c r="A2" s="1" t="str">
        <f>Cover!D21&amp;" - "&amp;Cover!D23</f>
        <v>SP Distribution - Two</v>
      </c>
    </row>
    <row r="3" spans="1:23" s="5" customFormat="1" x14ac:dyDescent="0.25">
      <c r="A3" s="5" t="str">
        <f>Cover!D2&amp;" - "&amp;Cover!D8&amp;" v"&amp;Cover!D10&amp;" - "&amp;Cover!D19</f>
        <v>CDCM charging model - Release for charge setting v6 - 2021/22</v>
      </c>
    </row>
    <row r="4" spans="1:23" x14ac:dyDescent="0.25">
      <c r="A4" s="12" t="str">
        <f>H204 &amp; IF(H204 = 1, " issue", " issues") &amp;" identified in checks on this sheet"</f>
        <v>0 issues identified in checks on this sheet</v>
      </c>
      <c r="B4" s="13"/>
      <c r="C4" s="13"/>
      <c r="D4" s="13"/>
      <c r="E4" s="13"/>
      <c r="F4" s="13"/>
      <c r="G4" s="13"/>
      <c r="H4" s="14"/>
      <c r="I4" s="14"/>
      <c r="J4" s="13"/>
    </row>
    <row r="5" spans="1:23" x14ac:dyDescent="0.25">
      <c r="B5" s="59" t="s">
        <v>141</v>
      </c>
      <c r="C5" s="60"/>
      <c r="D5" s="60"/>
      <c r="E5" s="60"/>
      <c r="F5" s="60"/>
      <c r="G5" s="61" t="s">
        <v>142</v>
      </c>
      <c r="H5" s="62" t="s">
        <v>143</v>
      </c>
      <c r="I5" s="113"/>
      <c r="J5" s="114" t="s">
        <v>188</v>
      </c>
      <c r="K5" s="114" t="s">
        <v>190</v>
      </c>
      <c r="L5" s="114" t="s">
        <v>191</v>
      </c>
      <c r="M5" s="114" t="s">
        <v>192</v>
      </c>
      <c r="N5" s="114" t="s">
        <v>193</v>
      </c>
      <c r="O5" s="114" t="s">
        <v>194</v>
      </c>
      <c r="P5" s="114" t="s">
        <v>195</v>
      </c>
      <c r="Q5" s="114" t="s">
        <v>196</v>
      </c>
      <c r="R5" s="114" t="s">
        <v>197</v>
      </c>
      <c r="S5" s="114" t="s">
        <v>198</v>
      </c>
      <c r="T5" s="114" t="s">
        <v>375</v>
      </c>
      <c r="U5" s="114" t="s">
        <v>376</v>
      </c>
      <c r="W5" s="60" t="s">
        <v>144</v>
      </c>
    </row>
    <row r="6" spans="1:23" x14ac:dyDescent="0.25">
      <c r="H6" s="3"/>
      <c r="I6" s="29"/>
      <c r="J6" s="3"/>
      <c r="K6" s="3"/>
      <c r="L6" s="3"/>
      <c r="M6" s="3"/>
      <c r="N6" s="3"/>
      <c r="O6" s="3"/>
      <c r="P6" s="3"/>
      <c r="Q6" s="3"/>
      <c r="R6" s="3"/>
      <c r="S6" s="3"/>
      <c r="T6" s="3"/>
      <c r="U6" s="3"/>
      <c r="W6" s="3"/>
    </row>
    <row r="7" spans="1:23" x14ac:dyDescent="0.25">
      <c r="B7" s="30" t="s">
        <v>9</v>
      </c>
      <c r="C7" s="30"/>
      <c r="D7" s="30"/>
      <c r="E7" s="30"/>
      <c r="F7" s="30"/>
      <c r="G7" s="30"/>
      <c r="H7" s="30"/>
      <c r="I7" s="30"/>
      <c r="J7" s="30"/>
      <c r="K7" s="30"/>
      <c r="L7" s="30"/>
      <c r="M7" s="30"/>
      <c r="N7" s="30"/>
      <c r="O7" s="30"/>
      <c r="P7" s="30"/>
      <c r="Q7" s="30"/>
      <c r="R7" s="30"/>
      <c r="S7" s="30"/>
      <c r="T7" s="30"/>
      <c r="U7" s="30"/>
      <c r="V7" s="30"/>
      <c r="W7" s="30"/>
    </row>
    <row r="9" spans="1:23" x14ac:dyDescent="0.25">
      <c r="C9" s="29" t="s">
        <v>381</v>
      </c>
    </row>
    <row r="10" spans="1:23" x14ac:dyDescent="0.25">
      <c r="C10" s="29" t="s">
        <v>382</v>
      </c>
    </row>
    <row r="11" spans="1:23" x14ac:dyDescent="0.25">
      <c r="C11" s="29" t="s">
        <v>383</v>
      </c>
    </row>
    <row r="13" spans="1:23" x14ac:dyDescent="0.25">
      <c r="B13" s="30" t="s">
        <v>384</v>
      </c>
      <c r="C13" s="30"/>
      <c r="D13" s="30"/>
      <c r="E13" s="30"/>
      <c r="F13" s="30"/>
      <c r="G13" s="30"/>
      <c r="H13" s="30"/>
      <c r="I13" s="30"/>
      <c r="J13" s="30"/>
      <c r="K13" s="30"/>
      <c r="L13" s="30"/>
      <c r="M13" s="30"/>
      <c r="N13" s="30"/>
      <c r="O13" s="30"/>
      <c r="P13" s="30"/>
      <c r="Q13" s="30"/>
      <c r="R13" s="30"/>
      <c r="S13" s="30"/>
      <c r="T13" s="30"/>
      <c r="U13" s="30"/>
      <c r="V13" s="30"/>
      <c r="W13" s="30"/>
    </row>
    <row r="14" spans="1:23" x14ac:dyDescent="0.25">
      <c r="H14" s="3"/>
      <c r="I14" s="3"/>
      <c r="J14" s="3"/>
      <c r="K14" s="3"/>
      <c r="L14" s="3"/>
      <c r="M14" s="3"/>
      <c r="N14" s="3"/>
      <c r="O14" s="3"/>
      <c r="P14" s="3"/>
      <c r="Q14" s="3"/>
      <c r="R14" s="3"/>
      <c r="S14" s="3"/>
      <c r="T14" s="3"/>
      <c r="U14" s="3"/>
      <c r="W14" s="3"/>
    </row>
    <row r="15" spans="1:23" x14ac:dyDescent="0.25">
      <c r="C15" s="29" t="s">
        <v>385</v>
      </c>
      <c r="H15" s="3"/>
      <c r="I15" s="3"/>
      <c r="J15" s="3"/>
      <c r="K15" s="3"/>
      <c r="L15" s="3"/>
      <c r="M15" s="3"/>
      <c r="N15" s="3"/>
      <c r="O15" s="3"/>
      <c r="P15" s="3"/>
      <c r="Q15" s="3"/>
      <c r="R15" s="3"/>
      <c r="S15" s="3"/>
      <c r="T15" s="3"/>
      <c r="U15" s="3"/>
      <c r="W15" s="3"/>
    </row>
    <row r="16" spans="1:23" x14ac:dyDescent="0.25">
      <c r="H16" s="3"/>
      <c r="I16" s="3"/>
      <c r="J16" s="3"/>
      <c r="K16" s="3"/>
      <c r="L16" s="3"/>
      <c r="M16" s="3"/>
      <c r="N16" s="3"/>
      <c r="O16" s="3"/>
      <c r="P16" s="3"/>
      <c r="Q16" s="3"/>
      <c r="R16" s="3"/>
      <c r="S16" s="3"/>
      <c r="T16" s="3"/>
      <c r="U16" s="3"/>
      <c r="W16" s="3"/>
    </row>
    <row r="17" spans="2:23" x14ac:dyDescent="0.25">
      <c r="C17" s="31" t="str">
        <f ca="1">INDEX('Version control'!$H$34:$H$57,MATCH($A$1,'Version control'!$F$34:$F$57,0),1)&amp;"-A: Load characteristics"</f>
        <v>Section 102-A: Load characteristics</v>
      </c>
      <c r="D17" s="31"/>
      <c r="E17" s="31"/>
      <c r="F17" s="31"/>
      <c r="G17" s="31"/>
      <c r="H17" s="31"/>
      <c r="I17" s="31"/>
      <c r="J17" s="31"/>
      <c r="K17" s="31"/>
      <c r="L17" s="31"/>
      <c r="M17" s="31"/>
      <c r="N17" s="31"/>
      <c r="O17" s="31"/>
      <c r="P17" s="31"/>
      <c r="Q17" s="31"/>
      <c r="R17" s="31"/>
      <c r="S17" s="31"/>
      <c r="T17" s="31"/>
      <c r="U17" s="31"/>
      <c r="V17" s="31"/>
      <c r="W17" s="31"/>
    </row>
    <row r="18" spans="2:23" x14ac:dyDescent="0.25">
      <c r="H18" s="3"/>
      <c r="I18" s="3"/>
      <c r="J18" s="3"/>
      <c r="K18" s="3"/>
      <c r="L18" s="3"/>
      <c r="M18" s="3"/>
      <c r="N18" s="3"/>
      <c r="O18" s="3"/>
      <c r="P18" s="3"/>
      <c r="Q18" s="3"/>
      <c r="R18" s="3"/>
      <c r="S18" s="3"/>
      <c r="T18" s="3"/>
      <c r="U18" s="3"/>
      <c r="W18" s="3"/>
    </row>
    <row r="19" spans="2:23" x14ac:dyDescent="0.25">
      <c r="E19" t="s">
        <v>386</v>
      </c>
      <c r="F19" s="115"/>
      <c r="G19" s="13" t="s">
        <v>166</v>
      </c>
      <c r="H19" s="3"/>
      <c r="I19" s="3"/>
      <c r="J19" s="94"/>
      <c r="K19" s="116">
        <f>'Inputs by network level'!K15</f>
        <v>0.11600000000000001</v>
      </c>
      <c r="L19" s="116">
        <f>'Inputs by network level'!L15</f>
        <v>0</v>
      </c>
      <c r="M19" s="94"/>
      <c r="N19" s="116">
        <f>'Inputs by network level'!N15</f>
        <v>0.13</v>
      </c>
      <c r="O19" s="94"/>
      <c r="P19" s="94"/>
      <c r="Q19" s="116">
        <f>'Inputs by network level'!Q15</f>
        <v>0.25</v>
      </c>
      <c r="R19" s="94"/>
      <c r="S19" s="94"/>
      <c r="T19" s="66"/>
      <c r="U19" s="66"/>
    </row>
    <row r="20" spans="2:23" x14ac:dyDescent="0.25">
      <c r="E20" t="s">
        <v>242</v>
      </c>
      <c r="F20" s="115"/>
      <c r="G20" s="13" t="s">
        <v>166</v>
      </c>
      <c r="H20" s="3"/>
      <c r="I20" s="3"/>
      <c r="J20" s="117">
        <f t="shared" ref="J20" si="0">IF(I20 = "", 1, I20 / (1 + J19))</f>
        <v>1</v>
      </c>
      <c r="K20" s="117">
        <f>IF(J20 = "", 1, J20 / (1 + K19))</f>
        <v>0.8960573476702508</v>
      </c>
      <c r="L20" s="117">
        <f t="shared" ref="L20:S20" si="1">IF(K20 = "", 1, K20 / (1 + L19))</f>
        <v>0.8960573476702508</v>
      </c>
      <c r="M20" s="117">
        <f t="shared" si="1"/>
        <v>0.8960573476702508</v>
      </c>
      <c r="N20" s="117">
        <f t="shared" si="1"/>
        <v>0.79297110413296534</v>
      </c>
      <c r="O20" s="117">
        <f t="shared" si="1"/>
        <v>0.79297110413296534</v>
      </c>
      <c r="P20" s="117">
        <f t="shared" si="1"/>
        <v>0.79297110413296534</v>
      </c>
      <c r="Q20" s="117">
        <f t="shared" si="1"/>
        <v>0.63437688330637232</v>
      </c>
      <c r="R20" s="117">
        <f t="shared" si="1"/>
        <v>0.63437688330637232</v>
      </c>
      <c r="S20" s="117">
        <f t="shared" si="1"/>
        <v>0.63437688330637232</v>
      </c>
      <c r="T20" s="66"/>
      <c r="U20" s="66"/>
    </row>
    <row r="21" spans="2:23" x14ac:dyDescent="0.25">
      <c r="E21" t="s">
        <v>387</v>
      </c>
      <c r="F21" s="115"/>
      <c r="G21" s="13" t="s">
        <v>166</v>
      </c>
      <c r="H21" s="3"/>
      <c r="I21" s="3"/>
      <c r="J21" s="117">
        <f>1 / J20 - 1</f>
        <v>0</v>
      </c>
      <c r="K21" s="117">
        <f t="shared" ref="K21:S21" si="2">1 / K20 - 1</f>
        <v>0.1160000000000001</v>
      </c>
      <c r="L21" s="117">
        <f t="shared" si="2"/>
        <v>0.1160000000000001</v>
      </c>
      <c r="M21" s="117">
        <f t="shared" si="2"/>
        <v>0.1160000000000001</v>
      </c>
      <c r="N21" s="117">
        <f t="shared" si="2"/>
        <v>0.26107999999999998</v>
      </c>
      <c r="O21" s="117">
        <f t="shared" si="2"/>
        <v>0.26107999999999998</v>
      </c>
      <c r="P21" s="117">
        <f t="shared" si="2"/>
        <v>0.26107999999999998</v>
      </c>
      <c r="Q21" s="117">
        <f t="shared" si="2"/>
        <v>0.57634999999999992</v>
      </c>
      <c r="R21" s="117">
        <f t="shared" si="2"/>
        <v>0.57634999999999992</v>
      </c>
      <c r="S21" s="117">
        <f t="shared" si="2"/>
        <v>0.57634999999999992</v>
      </c>
      <c r="T21" s="66"/>
      <c r="U21" s="66"/>
    </row>
    <row r="22" spans="2:23" x14ac:dyDescent="0.25">
      <c r="E22" t="s">
        <v>388</v>
      </c>
      <c r="F22" s="115"/>
      <c r="G22" s="13" t="s">
        <v>166</v>
      </c>
      <c r="H22" s="3"/>
      <c r="I22" s="3"/>
      <c r="J22" s="94"/>
      <c r="K22" s="94"/>
      <c r="L22" s="94"/>
      <c r="M22" s="94"/>
      <c r="N22" s="94"/>
      <c r="O22" s="94"/>
      <c r="P22" s="117">
        <f>M21</f>
        <v>0.1160000000000001</v>
      </c>
      <c r="Q22" s="94"/>
      <c r="R22" s="94"/>
      <c r="S22" s="94"/>
      <c r="T22" s="66"/>
      <c r="U22" s="66"/>
    </row>
    <row r="23" spans="2:23" x14ac:dyDescent="0.25">
      <c r="E23" t="s">
        <v>389</v>
      </c>
      <c r="F23" s="115"/>
      <c r="G23" s="13" t="s">
        <v>166</v>
      </c>
      <c r="H23" s="3"/>
      <c r="I23" s="3" t="s">
        <v>153</v>
      </c>
      <c r="J23" s="118">
        <f t="shared" ref="J23:S23" si="3">IF(J22 = "", J21, J22)</f>
        <v>0</v>
      </c>
      <c r="K23" s="118">
        <f t="shared" si="3"/>
        <v>0.1160000000000001</v>
      </c>
      <c r="L23" s="118">
        <f t="shared" si="3"/>
        <v>0.1160000000000001</v>
      </c>
      <c r="M23" s="118">
        <f t="shared" si="3"/>
        <v>0.1160000000000001</v>
      </c>
      <c r="N23" s="118">
        <f t="shared" si="3"/>
        <v>0.26107999999999998</v>
      </c>
      <c r="O23" s="118">
        <f t="shared" si="3"/>
        <v>0.26107999999999998</v>
      </c>
      <c r="P23" s="118">
        <f t="shared" si="3"/>
        <v>0.1160000000000001</v>
      </c>
      <c r="Q23" s="118">
        <f t="shared" si="3"/>
        <v>0.57634999999999992</v>
      </c>
      <c r="R23" s="118">
        <f t="shared" si="3"/>
        <v>0.57634999999999992</v>
      </c>
      <c r="S23" s="118">
        <f t="shared" si="3"/>
        <v>0.57634999999999992</v>
      </c>
      <c r="T23" s="66"/>
      <c r="U23" s="66"/>
      <c r="W23" s="63" t="s">
        <v>390</v>
      </c>
    </row>
    <row r="24" spans="2:23" x14ac:dyDescent="0.25">
      <c r="F24" s="115"/>
      <c r="G24" s="13"/>
      <c r="H24" s="3"/>
      <c r="I24" s="3"/>
      <c r="J24" s="117"/>
      <c r="K24" s="117"/>
      <c r="L24" s="117"/>
      <c r="M24" s="117"/>
      <c r="N24" s="117"/>
      <c r="O24" s="117"/>
      <c r="P24" s="117"/>
      <c r="Q24" s="117"/>
      <c r="R24" s="117"/>
      <c r="S24" s="117"/>
      <c r="T24" s="3"/>
      <c r="U24" s="3"/>
    </row>
    <row r="25" spans="2:23" x14ac:dyDescent="0.25">
      <c r="C25" s="31" t="str">
        <f ca="1">INDEX('Version control'!$H$34:$H$57,MATCH($A$1,'Version control'!$F$34:$F$57,0),1)&amp;"-B: Loss adjustment factors"</f>
        <v>Section 102-B: Loss adjustment factors</v>
      </c>
      <c r="D25" s="31"/>
      <c r="E25" s="31"/>
      <c r="F25" s="31"/>
      <c r="G25" s="31"/>
      <c r="H25" s="31"/>
      <c r="I25" s="31"/>
      <c r="J25" s="31"/>
      <c r="K25" s="31"/>
      <c r="L25" s="31"/>
      <c r="M25" s="31"/>
      <c r="N25" s="31"/>
      <c r="O25" s="31"/>
      <c r="P25" s="31"/>
      <c r="Q25" s="31"/>
      <c r="R25" s="31"/>
      <c r="S25" s="31"/>
      <c r="T25" s="31"/>
      <c r="U25" s="31"/>
      <c r="V25" s="31"/>
      <c r="W25" s="31"/>
    </row>
    <row r="26" spans="2:23" x14ac:dyDescent="0.25">
      <c r="H26" s="3"/>
      <c r="I26" s="3"/>
      <c r="J26" s="3"/>
      <c r="K26" s="3"/>
      <c r="L26" s="3"/>
      <c r="M26" s="3"/>
      <c r="N26" s="3"/>
      <c r="O26" s="3"/>
      <c r="P26" s="3"/>
      <c r="Q26" s="3"/>
      <c r="R26" s="3"/>
      <c r="S26" s="3"/>
      <c r="T26" s="3"/>
      <c r="U26" s="3"/>
      <c r="W26" s="3"/>
    </row>
    <row r="27" spans="2:23" x14ac:dyDescent="0.25">
      <c r="E27" t="s">
        <v>391</v>
      </c>
      <c r="F27" s="119"/>
      <c r="G27" s="72" t="s">
        <v>282</v>
      </c>
      <c r="H27" s="3"/>
      <c r="I27" s="3"/>
      <c r="J27" s="79"/>
      <c r="K27" s="120">
        <f>'Inputs by network level'!K19</f>
        <v>1</v>
      </c>
      <c r="L27" s="120">
        <f>'Inputs by network level'!L19</f>
        <v>1</v>
      </c>
      <c r="M27" s="120">
        <f>'Inputs by network level'!M19</f>
        <v>1</v>
      </c>
      <c r="N27" s="120">
        <f>'Inputs by network level'!N19</f>
        <v>1.004</v>
      </c>
      <c r="O27" s="120">
        <f>'Inputs by network level'!O19</f>
        <v>1.0129999999999999</v>
      </c>
      <c r="P27" s="79"/>
      <c r="Q27" s="120">
        <f>'Inputs by network level'!Q19</f>
        <v>1.026</v>
      </c>
      <c r="R27" s="120">
        <f>'Inputs by network level'!R19</f>
        <v>1.044</v>
      </c>
      <c r="S27" s="120">
        <f>'Inputs by network level'!S19</f>
        <v>1.0980000000000001</v>
      </c>
      <c r="T27" s="79"/>
      <c r="U27" s="79"/>
    </row>
    <row r="28" spans="2:23" x14ac:dyDescent="0.25">
      <c r="E28" t="s">
        <v>392</v>
      </c>
      <c r="F28" s="119"/>
      <c r="G28" s="72" t="s">
        <v>282</v>
      </c>
      <c r="H28" s="3"/>
      <c r="I28" s="3"/>
      <c r="J28" s="98">
        <f>K27</f>
        <v>1</v>
      </c>
      <c r="K28" s="79"/>
      <c r="L28" s="79"/>
      <c r="M28" s="79"/>
      <c r="N28" s="79"/>
      <c r="O28" s="79"/>
      <c r="P28" s="98">
        <f>O27</f>
        <v>1.0129999999999999</v>
      </c>
      <c r="Q28" s="79"/>
      <c r="R28" s="79"/>
      <c r="S28" s="79"/>
      <c r="T28" s="79"/>
      <c r="U28" s="79"/>
    </row>
    <row r="29" spans="2:23" x14ac:dyDescent="0.25">
      <c r="E29" t="s">
        <v>393</v>
      </c>
      <c r="F29" s="119"/>
      <c r="G29" s="72" t="s">
        <v>282</v>
      </c>
      <c r="H29" s="3"/>
      <c r="I29" s="3" t="s">
        <v>153</v>
      </c>
      <c r="J29" s="121">
        <f t="shared" ref="J29:S29" si="4">J27 + J28</f>
        <v>1</v>
      </c>
      <c r="K29" s="121">
        <f t="shared" si="4"/>
        <v>1</v>
      </c>
      <c r="L29" s="121">
        <f t="shared" si="4"/>
        <v>1</v>
      </c>
      <c r="M29" s="121">
        <f t="shared" si="4"/>
        <v>1</v>
      </c>
      <c r="N29" s="121">
        <f t="shared" si="4"/>
        <v>1.004</v>
      </c>
      <c r="O29" s="121">
        <f t="shared" si="4"/>
        <v>1.0129999999999999</v>
      </c>
      <c r="P29" s="121">
        <f t="shared" si="4"/>
        <v>1.0129999999999999</v>
      </c>
      <c r="Q29" s="121">
        <f t="shared" si="4"/>
        <v>1.026</v>
      </c>
      <c r="R29" s="121">
        <f t="shared" si="4"/>
        <v>1.044</v>
      </c>
      <c r="S29" s="121">
        <f t="shared" si="4"/>
        <v>1.0980000000000001</v>
      </c>
      <c r="T29" s="79"/>
      <c r="U29" s="79"/>
      <c r="W29" s="63" t="s">
        <v>283</v>
      </c>
    </row>
    <row r="30" spans="2:23" x14ac:dyDescent="0.25">
      <c r="F30" s="115"/>
      <c r="G30" s="13"/>
      <c r="H30" s="3"/>
      <c r="I30" s="3"/>
      <c r="J30" s="3"/>
      <c r="K30" s="3"/>
      <c r="L30" s="3"/>
      <c r="M30" s="3"/>
      <c r="N30" s="3"/>
      <c r="O30" s="3"/>
      <c r="Q30" s="3"/>
      <c r="R30" s="3"/>
      <c r="S30" s="3"/>
      <c r="T30" s="3"/>
      <c r="U30" s="3"/>
    </row>
    <row r="31" spans="2:23" x14ac:dyDescent="0.25">
      <c r="B31" s="30" t="s">
        <v>394</v>
      </c>
      <c r="C31" s="30"/>
      <c r="D31" s="30"/>
      <c r="E31" s="30"/>
      <c r="F31" s="30"/>
      <c r="G31" s="92"/>
      <c r="H31" s="30"/>
      <c r="I31" s="30"/>
      <c r="J31" s="30"/>
      <c r="K31" s="30"/>
      <c r="L31" s="30"/>
      <c r="M31" s="30"/>
      <c r="N31" s="30"/>
      <c r="O31" s="30"/>
      <c r="P31" s="30"/>
      <c r="Q31" s="30"/>
      <c r="R31" s="30"/>
      <c r="S31" s="30"/>
      <c r="T31" s="30"/>
      <c r="U31" s="30"/>
      <c r="V31" s="30"/>
      <c r="W31" s="30"/>
    </row>
    <row r="32" spans="2:23" x14ac:dyDescent="0.25">
      <c r="F32" s="115"/>
      <c r="G32" s="13"/>
      <c r="H32" s="3"/>
      <c r="I32" s="3"/>
      <c r="J32" s="3"/>
      <c r="K32" s="3"/>
      <c r="L32" s="3"/>
      <c r="M32" s="3"/>
      <c r="N32" s="3"/>
      <c r="O32" s="3"/>
      <c r="Q32" s="3"/>
      <c r="R32" s="3"/>
      <c r="S32" s="3"/>
      <c r="T32" s="3"/>
      <c r="U32" s="3"/>
    </row>
    <row r="33" spans="3:23" x14ac:dyDescent="0.25">
      <c r="C33" s="29" t="s">
        <v>395</v>
      </c>
      <c r="F33" s="115"/>
      <c r="G33" s="13"/>
      <c r="H33" s="3"/>
      <c r="I33" s="3"/>
      <c r="J33" s="3"/>
      <c r="K33" s="3"/>
      <c r="L33" s="3"/>
      <c r="M33" s="3"/>
      <c r="N33" s="3"/>
      <c r="O33" s="3"/>
      <c r="Q33" s="3"/>
      <c r="R33" s="3"/>
      <c r="S33" s="3"/>
      <c r="T33" s="3"/>
      <c r="U33" s="3"/>
    </row>
    <row r="34" spans="3:23" x14ac:dyDescent="0.25">
      <c r="F34" s="115"/>
      <c r="G34" s="13"/>
      <c r="H34" s="3"/>
      <c r="I34" s="3"/>
      <c r="J34" s="3"/>
      <c r="K34" s="3"/>
      <c r="L34" s="3"/>
      <c r="M34" s="3"/>
      <c r="N34" s="3"/>
      <c r="O34" s="3"/>
      <c r="Q34" s="3"/>
      <c r="R34" s="3"/>
      <c r="S34" s="3"/>
      <c r="T34" s="3"/>
      <c r="U34" s="3"/>
    </row>
    <row r="35" spans="3:23" x14ac:dyDescent="0.25">
      <c r="C35" s="31" t="str">
        <f ca="1">INDEX('Version control'!$H$34:$H$57,MATCH($A$1,'Version control'!$F$34:$F$57,0),1)&amp;"-C: Proportion of relevant load going through 132kV/HV direct transformation"</f>
        <v>Section 102-C: Proportion of relevant load going through 132kV/HV direct transformation</v>
      </c>
      <c r="D35" s="31"/>
      <c r="E35" s="31"/>
      <c r="F35" s="31"/>
      <c r="G35" s="31"/>
      <c r="H35" s="31"/>
      <c r="I35" s="31"/>
      <c r="J35" s="31"/>
      <c r="K35" s="31"/>
      <c r="L35" s="31"/>
      <c r="M35" s="31"/>
      <c r="N35" s="31"/>
      <c r="O35" s="31"/>
      <c r="P35" s="31"/>
      <c r="Q35" s="31"/>
      <c r="R35" s="31"/>
      <c r="S35" s="31"/>
      <c r="T35" s="31"/>
      <c r="U35" s="31"/>
      <c r="V35" s="31"/>
      <c r="W35" s="31"/>
    </row>
    <row r="36" spans="3:23" x14ac:dyDescent="0.25">
      <c r="H36" s="3"/>
      <c r="I36" s="3"/>
      <c r="J36" s="3"/>
      <c r="K36" s="3"/>
      <c r="L36" s="3"/>
      <c r="M36" s="3"/>
      <c r="N36" s="3"/>
      <c r="O36" s="3"/>
      <c r="P36" s="3"/>
      <c r="Q36" s="3"/>
      <c r="R36" s="3"/>
      <c r="S36" s="3"/>
      <c r="T36" s="3"/>
      <c r="U36" s="3"/>
      <c r="W36" s="3"/>
    </row>
    <row r="37" spans="3:23" x14ac:dyDescent="0.25">
      <c r="E37" t="s">
        <v>195</v>
      </c>
      <c r="F37" s="28"/>
      <c r="G37" s="72" t="s">
        <v>166</v>
      </c>
      <c r="H37" s="116">
        <f>'Inputs by network level'!P17</f>
        <v>0</v>
      </c>
      <c r="I37" s="3"/>
    </row>
    <row r="38" spans="3:23" x14ac:dyDescent="0.25">
      <c r="E38" t="s">
        <v>396</v>
      </c>
      <c r="F38" s="115"/>
      <c r="G38" s="13" t="s">
        <v>166</v>
      </c>
      <c r="H38" s="3"/>
      <c r="I38" s="3"/>
      <c r="J38" s="66"/>
      <c r="K38" s="66"/>
      <c r="L38" s="66"/>
      <c r="M38" s="122">
        <f>1 - $H$37</f>
        <v>1</v>
      </c>
      <c r="N38" s="122">
        <f>1 - $H$37</f>
        <v>1</v>
      </c>
      <c r="O38" s="122">
        <f>1 - $H$37</f>
        <v>1</v>
      </c>
      <c r="P38" s="123">
        <f>H37</f>
        <v>0</v>
      </c>
      <c r="Q38" s="66"/>
      <c r="R38" s="66"/>
      <c r="S38" s="66"/>
      <c r="T38" s="66"/>
      <c r="U38" s="66"/>
    </row>
    <row r="39" spans="3:23" x14ac:dyDescent="0.25">
      <c r="F39" s="115"/>
      <c r="G39" s="13"/>
      <c r="H39" s="3"/>
      <c r="I39" s="3"/>
      <c r="J39" s="3"/>
      <c r="K39" s="3"/>
      <c r="L39" s="3"/>
      <c r="M39" s="3"/>
      <c r="N39" s="3"/>
      <c r="O39" s="3"/>
      <c r="Q39" s="3"/>
      <c r="R39" s="3"/>
      <c r="S39" s="3"/>
      <c r="T39" s="3"/>
      <c r="U39" s="3"/>
    </row>
    <row r="40" spans="3:23" x14ac:dyDescent="0.25">
      <c r="C40" s="31" t="str">
        <f ca="1">INDEX('Version control'!$H$34:$H$57,MATCH($A$1,'Version control'!$F$34:$F$57,0),1)&amp;"-D: Network use factors"</f>
        <v>Section 102-D: Network use factors</v>
      </c>
      <c r="D40" s="31"/>
      <c r="E40" s="31"/>
      <c r="F40" s="31"/>
      <c r="G40" s="31"/>
      <c r="H40" s="31"/>
      <c r="I40" s="31"/>
      <c r="J40" s="31"/>
      <c r="K40" s="31"/>
      <c r="L40" s="31"/>
      <c r="M40" s="31"/>
      <c r="N40" s="31"/>
      <c r="O40" s="31"/>
      <c r="P40" s="31"/>
      <c r="Q40" s="31"/>
      <c r="R40" s="31"/>
      <c r="S40" s="31"/>
      <c r="T40" s="31"/>
      <c r="U40" s="31"/>
      <c r="V40" s="31"/>
      <c r="W40" s="31"/>
    </row>
    <row r="41" spans="3:23" x14ac:dyDescent="0.25">
      <c r="H41" s="3"/>
      <c r="I41" s="3"/>
      <c r="J41" s="3"/>
      <c r="K41" s="3"/>
      <c r="L41" s="3"/>
      <c r="M41" s="3"/>
      <c r="N41" s="3"/>
      <c r="O41" s="3"/>
      <c r="P41" s="3"/>
      <c r="Q41" s="3"/>
      <c r="R41" s="3"/>
      <c r="S41" s="3"/>
      <c r="T41" s="3"/>
      <c r="U41" s="3"/>
      <c r="W41" s="3"/>
    </row>
    <row r="42" spans="3:23" x14ac:dyDescent="0.25">
      <c r="D42" s="29" t="s">
        <v>397</v>
      </c>
      <c r="H42" s="3"/>
      <c r="I42" s="3"/>
      <c r="J42" s="3"/>
      <c r="K42" s="3"/>
      <c r="L42" s="3"/>
      <c r="M42" s="3"/>
      <c r="N42" s="3"/>
      <c r="O42" s="3"/>
      <c r="P42" s="3"/>
      <c r="Q42" s="3"/>
      <c r="R42" s="3"/>
      <c r="S42" s="3"/>
      <c r="T42" s="3"/>
      <c r="U42" s="3"/>
      <c r="W42" s="3"/>
    </row>
    <row r="43" spans="3:23" x14ac:dyDescent="0.25">
      <c r="D43" s="29"/>
      <c r="H43" s="3"/>
      <c r="I43" s="3"/>
      <c r="J43" s="3"/>
      <c r="K43" s="3"/>
      <c r="L43" s="3"/>
      <c r="M43" s="3"/>
      <c r="N43" s="3"/>
      <c r="O43" s="3"/>
      <c r="P43" s="3"/>
      <c r="Q43" s="3"/>
      <c r="R43" s="3"/>
      <c r="S43" s="3"/>
      <c r="T43" s="3"/>
      <c r="U43" s="3"/>
      <c r="W43" s="3"/>
    </row>
    <row r="44" spans="3:23" x14ac:dyDescent="0.25">
      <c r="E44" s="32" t="s">
        <v>186</v>
      </c>
      <c r="G44" s="13"/>
    </row>
    <row r="45" spans="3:23" x14ac:dyDescent="0.25">
      <c r="E45" s="29" t="s">
        <v>398</v>
      </c>
      <c r="G45" s="13"/>
    </row>
    <row r="46" spans="3:23" x14ac:dyDescent="0.25">
      <c r="F46" s="23" t="s">
        <v>893</v>
      </c>
      <c r="G46" s="78" t="s">
        <v>189</v>
      </c>
      <c r="H46" s="23"/>
      <c r="I46" s="23"/>
      <c r="J46" s="124">
        <f t="array" ref="J46:S64">TRANSPOSE('Fixed inputs'!J60:AB69)</f>
        <v>1</v>
      </c>
      <c r="K46" s="124">
        <v>1</v>
      </c>
      <c r="L46" s="124">
        <v>1</v>
      </c>
      <c r="M46" s="124">
        <v>1</v>
      </c>
      <c r="N46" s="124">
        <v>1</v>
      </c>
      <c r="O46" s="124">
        <v>1</v>
      </c>
      <c r="P46" s="124">
        <v>1</v>
      </c>
      <c r="Q46" s="124">
        <v>1</v>
      </c>
      <c r="R46" s="124">
        <v>1</v>
      </c>
      <c r="S46" s="124">
        <v>1</v>
      </c>
      <c r="T46" s="83"/>
      <c r="U46" s="83"/>
      <c r="W46" s="3"/>
    </row>
    <row r="47" spans="3:23" x14ac:dyDescent="0.25">
      <c r="F47" t="s">
        <v>895</v>
      </c>
      <c r="G47" s="72" t="s">
        <v>189</v>
      </c>
      <c r="J47" s="120">
        <v>1</v>
      </c>
      <c r="K47" s="120">
        <v>1</v>
      </c>
      <c r="L47" s="120">
        <v>1</v>
      </c>
      <c r="M47" s="120">
        <v>1</v>
      </c>
      <c r="N47" s="120">
        <v>1</v>
      </c>
      <c r="O47" s="120">
        <v>1</v>
      </c>
      <c r="P47" s="120">
        <v>1</v>
      </c>
      <c r="Q47" s="120">
        <v>1</v>
      </c>
      <c r="R47" s="120">
        <v>1</v>
      </c>
      <c r="S47" s="120">
        <v>1</v>
      </c>
      <c r="T47" s="79"/>
      <c r="U47" s="79"/>
    </row>
    <row r="48" spans="3:23" x14ac:dyDescent="0.25">
      <c r="F48" t="s">
        <v>894</v>
      </c>
      <c r="G48" s="72" t="s">
        <v>189</v>
      </c>
      <c r="J48" s="120">
        <v>1</v>
      </c>
      <c r="K48" s="120">
        <v>1</v>
      </c>
      <c r="L48" s="120">
        <v>1</v>
      </c>
      <c r="M48" s="120">
        <v>1</v>
      </c>
      <c r="N48" s="120">
        <v>1</v>
      </c>
      <c r="O48" s="120">
        <v>1</v>
      </c>
      <c r="P48" s="120">
        <v>1</v>
      </c>
      <c r="Q48" s="120">
        <v>1</v>
      </c>
      <c r="R48" s="120">
        <v>1</v>
      </c>
      <c r="S48" s="120">
        <v>1</v>
      </c>
      <c r="T48" s="79"/>
      <c r="U48" s="79"/>
    </row>
    <row r="49" spans="6:21" x14ac:dyDescent="0.25">
      <c r="F49" t="s">
        <v>896</v>
      </c>
      <c r="G49" s="72" t="s">
        <v>189</v>
      </c>
      <c r="J49" s="120">
        <v>1</v>
      </c>
      <c r="K49" s="120">
        <v>1</v>
      </c>
      <c r="L49" s="120">
        <v>1</v>
      </c>
      <c r="M49" s="120">
        <v>1</v>
      </c>
      <c r="N49" s="120">
        <v>1</v>
      </c>
      <c r="O49" s="120">
        <v>1</v>
      </c>
      <c r="P49" s="120">
        <v>1</v>
      </c>
      <c r="Q49" s="120">
        <v>1</v>
      </c>
      <c r="R49" s="120">
        <v>1</v>
      </c>
      <c r="S49" s="120">
        <v>1</v>
      </c>
      <c r="T49" s="79"/>
      <c r="U49" s="79"/>
    </row>
    <row r="50" spans="6:21" x14ac:dyDescent="0.25">
      <c r="F50" t="s">
        <v>902</v>
      </c>
      <c r="G50" s="72" t="s">
        <v>189</v>
      </c>
      <c r="J50" s="120">
        <v>1</v>
      </c>
      <c r="K50" s="120">
        <v>1</v>
      </c>
      <c r="L50" s="120">
        <v>1</v>
      </c>
      <c r="M50" s="120">
        <v>1</v>
      </c>
      <c r="N50" s="120">
        <v>1</v>
      </c>
      <c r="O50" s="120">
        <v>1</v>
      </c>
      <c r="P50" s="120">
        <v>1</v>
      </c>
      <c r="Q50" s="120">
        <v>1</v>
      </c>
      <c r="R50" s="120">
        <v>1</v>
      </c>
      <c r="S50" s="120">
        <v>1</v>
      </c>
      <c r="T50" s="79"/>
      <c r="U50" s="79"/>
    </row>
    <row r="51" spans="6:21" x14ac:dyDescent="0.25">
      <c r="F51" t="s">
        <v>903</v>
      </c>
      <c r="G51" s="72" t="s">
        <v>189</v>
      </c>
      <c r="J51" s="120">
        <v>1</v>
      </c>
      <c r="K51" s="120">
        <v>1</v>
      </c>
      <c r="L51" s="120">
        <v>1</v>
      </c>
      <c r="M51" s="120">
        <v>1</v>
      </c>
      <c r="N51" s="120">
        <v>1</v>
      </c>
      <c r="O51" s="120">
        <v>1</v>
      </c>
      <c r="P51" s="120">
        <v>1</v>
      </c>
      <c r="Q51" s="120">
        <v>1</v>
      </c>
      <c r="R51" s="120">
        <v>1</v>
      </c>
      <c r="S51" s="120">
        <v>0</v>
      </c>
      <c r="T51" s="79"/>
      <c r="U51" s="79"/>
    </row>
    <row r="52" spans="6:21" x14ac:dyDescent="0.25">
      <c r="F52" t="s">
        <v>904</v>
      </c>
      <c r="G52" s="72" t="s">
        <v>189</v>
      </c>
      <c r="J52" s="120">
        <v>1</v>
      </c>
      <c r="K52" s="120">
        <v>1</v>
      </c>
      <c r="L52" s="120">
        <v>1</v>
      </c>
      <c r="M52" s="120">
        <v>1</v>
      </c>
      <c r="N52" s="120">
        <v>1</v>
      </c>
      <c r="O52" s="120">
        <v>1</v>
      </c>
      <c r="P52" s="120">
        <v>1</v>
      </c>
      <c r="Q52" s="120">
        <v>1</v>
      </c>
      <c r="R52" s="120">
        <v>0</v>
      </c>
      <c r="S52" s="120">
        <v>0</v>
      </c>
      <c r="T52" s="79"/>
      <c r="U52" s="79"/>
    </row>
    <row r="53" spans="6:21" x14ac:dyDescent="0.25">
      <c r="F53" t="s">
        <v>1027</v>
      </c>
      <c r="G53" s="72" t="s">
        <v>189</v>
      </c>
      <c r="J53" s="120">
        <v>1</v>
      </c>
      <c r="K53" s="120">
        <v>1</v>
      </c>
      <c r="L53" s="120">
        <v>1</v>
      </c>
      <c r="M53" s="120">
        <v>1</v>
      </c>
      <c r="N53" s="120">
        <v>1</v>
      </c>
      <c r="O53" s="120">
        <v>1</v>
      </c>
      <c r="P53" s="120">
        <v>1</v>
      </c>
      <c r="Q53" s="120">
        <v>1</v>
      </c>
      <c r="R53" s="120">
        <v>1</v>
      </c>
      <c r="S53" s="120">
        <v>1</v>
      </c>
      <c r="T53" s="79"/>
      <c r="U53" s="79"/>
    </row>
    <row r="54" spans="6:21" x14ac:dyDescent="0.25">
      <c r="F54" t="s">
        <v>1028</v>
      </c>
      <c r="G54" s="72" t="s">
        <v>189</v>
      </c>
      <c r="J54" s="120">
        <v>1</v>
      </c>
      <c r="K54" s="120">
        <v>1</v>
      </c>
      <c r="L54" s="120">
        <v>1</v>
      </c>
      <c r="M54" s="120">
        <v>1</v>
      </c>
      <c r="N54" s="120">
        <v>1</v>
      </c>
      <c r="O54" s="120">
        <v>1</v>
      </c>
      <c r="P54" s="120">
        <v>1</v>
      </c>
      <c r="Q54" s="120">
        <v>1</v>
      </c>
      <c r="R54" s="120">
        <v>1</v>
      </c>
      <c r="S54" s="120">
        <v>0</v>
      </c>
      <c r="T54" s="79"/>
      <c r="U54" s="79"/>
    </row>
    <row r="55" spans="6:21" x14ac:dyDescent="0.25">
      <c r="F55" t="s">
        <v>1029</v>
      </c>
      <c r="G55" s="72" t="s">
        <v>189</v>
      </c>
      <c r="J55" s="120">
        <v>1</v>
      </c>
      <c r="K55" s="120">
        <v>1</v>
      </c>
      <c r="L55" s="120">
        <v>1</v>
      </c>
      <c r="M55" s="120">
        <v>1</v>
      </c>
      <c r="N55" s="120">
        <v>1</v>
      </c>
      <c r="O55" s="120">
        <v>1</v>
      </c>
      <c r="P55" s="120">
        <v>1</v>
      </c>
      <c r="Q55" s="120">
        <v>1</v>
      </c>
      <c r="R55" s="120">
        <v>0</v>
      </c>
      <c r="S55" s="120">
        <v>0</v>
      </c>
      <c r="T55" s="79"/>
      <c r="U55" s="79"/>
    </row>
    <row r="56" spans="6:21" x14ac:dyDescent="0.25">
      <c r="F56" t="s">
        <v>905</v>
      </c>
      <c r="G56" s="72" t="s">
        <v>189</v>
      </c>
      <c r="J56" s="120">
        <v>1</v>
      </c>
      <c r="K56" s="120">
        <v>1</v>
      </c>
      <c r="L56" s="120">
        <v>1</v>
      </c>
      <c r="M56" s="120">
        <v>1</v>
      </c>
      <c r="N56" s="120">
        <v>1</v>
      </c>
      <c r="O56" s="120">
        <v>1</v>
      </c>
      <c r="P56" s="120">
        <v>1</v>
      </c>
      <c r="Q56" s="120">
        <v>1</v>
      </c>
      <c r="R56" s="120">
        <v>1</v>
      </c>
      <c r="S56" s="120">
        <v>1</v>
      </c>
      <c r="T56" s="79"/>
      <c r="U56" s="79"/>
    </row>
    <row r="57" spans="6:21" x14ac:dyDescent="0.25">
      <c r="F57" t="s">
        <v>897</v>
      </c>
      <c r="G57" s="72" t="s">
        <v>189</v>
      </c>
      <c r="J57" s="120">
        <v>-1</v>
      </c>
      <c r="K57" s="120">
        <v>-1</v>
      </c>
      <c r="L57" s="120">
        <v>-1</v>
      </c>
      <c r="M57" s="120">
        <v>-1</v>
      </c>
      <c r="N57" s="120">
        <v>-1</v>
      </c>
      <c r="O57" s="120">
        <v>-1</v>
      </c>
      <c r="P57" s="120">
        <v>-1</v>
      </c>
      <c r="Q57" s="120">
        <v>-1</v>
      </c>
      <c r="R57" s="120">
        <v>-1</v>
      </c>
      <c r="S57" s="120">
        <v>-1</v>
      </c>
      <c r="T57" s="79"/>
      <c r="U57" s="79"/>
    </row>
    <row r="58" spans="6:21" x14ac:dyDescent="0.25">
      <c r="F58" t="s">
        <v>898</v>
      </c>
      <c r="G58" s="72" t="s">
        <v>189</v>
      </c>
      <c r="J58" s="120">
        <v>-1</v>
      </c>
      <c r="K58" s="120">
        <v>-1</v>
      </c>
      <c r="L58" s="120">
        <v>-1</v>
      </c>
      <c r="M58" s="120">
        <v>-1</v>
      </c>
      <c r="N58" s="120">
        <v>-1</v>
      </c>
      <c r="O58" s="120">
        <v>-1</v>
      </c>
      <c r="P58" s="120">
        <v>-1</v>
      </c>
      <c r="Q58" s="120">
        <v>-1</v>
      </c>
      <c r="R58" s="120">
        <v>-1</v>
      </c>
      <c r="S58" s="120">
        <v>0</v>
      </c>
      <c r="T58" s="79"/>
      <c r="U58" s="79"/>
    </row>
    <row r="59" spans="6:21" x14ac:dyDescent="0.25">
      <c r="F59" t="s">
        <v>899</v>
      </c>
      <c r="G59" s="72" t="s">
        <v>189</v>
      </c>
      <c r="J59" s="120">
        <v>-1</v>
      </c>
      <c r="K59" s="120">
        <v>-1</v>
      </c>
      <c r="L59" s="120">
        <v>-1</v>
      </c>
      <c r="M59" s="120">
        <v>-1</v>
      </c>
      <c r="N59" s="120">
        <v>-1</v>
      </c>
      <c r="O59" s="120">
        <v>-1</v>
      </c>
      <c r="P59" s="120">
        <v>-1</v>
      </c>
      <c r="Q59" s="120">
        <v>-1</v>
      </c>
      <c r="R59" s="120">
        <v>-1</v>
      </c>
      <c r="S59" s="120">
        <v>-1</v>
      </c>
      <c r="T59" s="79"/>
      <c r="U59" s="79"/>
    </row>
    <row r="60" spans="6:21" x14ac:dyDescent="0.25">
      <c r="F60" t="s">
        <v>908</v>
      </c>
      <c r="G60" s="72" t="s">
        <v>189</v>
      </c>
      <c r="J60" s="120">
        <v>-1</v>
      </c>
      <c r="K60" s="120">
        <v>-1</v>
      </c>
      <c r="L60" s="120">
        <v>-1</v>
      </c>
      <c r="M60" s="120">
        <v>-1</v>
      </c>
      <c r="N60" s="120">
        <v>-1</v>
      </c>
      <c r="O60" s="120">
        <v>-1</v>
      </c>
      <c r="P60" s="120">
        <v>-1</v>
      </c>
      <c r="Q60" s="120">
        <v>-1</v>
      </c>
      <c r="R60" s="120">
        <v>-1</v>
      </c>
      <c r="S60" s="120">
        <v>-1</v>
      </c>
      <c r="T60" s="79"/>
      <c r="U60" s="79"/>
    </row>
    <row r="61" spans="6:21" x14ac:dyDescent="0.25">
      <c r="F61" t="s">
        <v>900</v>
      </c>
      <c r="G61" s="72" t="s">
        <v>189</v>
      </c>
      <c r="J61" s="120">
        <v>-1</v>
      </c>
      <c r="K61" s="120">
        <v>-1</v>
      </c>
      <c r="L61" s="120">
        <v>-1</v>
      </c>
      <c r="M61" s="120">
        <v>-1</v>
      </c>
      <c r="N61" s="120">
        <v>-1</v>
      </c>
      <c r="O61" s="120">
        <v>-1</v>
      </c>
      <c r="P61" s="120">
        <v>-1</v>
      </c>
      <c r="Q61" s="120">
        <v>-1</v>
      </c>
      <c r="R61" s="120">
        <v>-1</v>
      </c>
      <c r="S61" s="120">
        <v>0</v>
      </c>
      <c r="T61" s="79"/>
      <c r="U61" s="79"/>
    </row>
    <row r="62" spans="6:21" x14ac:dyDescent="0.25">
      <c r="F62" t="s">
        <v>907</v>
      </c>
      <c r="G62" s="72" t="s">
        <v>189</v>
      </c>
      <c r="J62" s="120">
        <v>-1</v>
      </c>
      <c r="K62" s="120">
        <v>-1</v>
      </c>
      <c r="L62" s="120">
        <v>-1</v>
      </c>
      <c r="M62" s="120">
        <v>-1</v>
      </c>
      <c r="N62" s="120">
        <v>-1</v>
      </c>
      <c r="O62" s="120">
        <v>-1</v>
      </c>
      <c r="P62" s="120">
        <v>-1</v>
      </c>
      <c r="Q62" s="120">
        <v>-1</v>
      </c>
      <c r="R62" s="120">
        <v>-1</v>
      </c>
      <c r="S62" s="120">
        <v>0</v>
      </c>
      <c r="T62" s="79"/>
      <c r="U62" s="79"/>
    </row>
    <row r="63" spans="6:21" x14ac:dyDescent="0.25">
      <c r="F63" t="s">
        <v>901</v>
      </c>
      <c r="G63" s="72" t="s">
        <v>189</v>
      </c>
      <c r="J63" s="120">
        <v>-1</v>
      </c>
      <c r="K63" s="120">
        <v>-1</v>
      </c>
      <c r="L63" s="120">
        <v>-1</v>
      </c>
      <c r="M63" s="120">
        <v>-1</v>
      </c>
      <c r="N63" s="120">
        <v>-1</v>
      </c>
      <c r="O63" s="120">
        <v>-1</v>
      </c>
      <c r="P63" s="120">
        <v>-1</v>
      </c>
      <c r="Q63" s="120">
        <v>-1</v>
      </c>
      <c r="R63" s="120">
        <v>0</v>
      </c>
      <c r="S63" s="120">
        <v>0</v>
      </c>
      <c r="T63" s="79"/>
      <c r="U63" s="79"/>
    </row>
    <row r="64" spans="6:21" x14ac:dyDescent="0.25">
      <c r="F64" s="37" t="s">
        <v>906</v>
      </c>
      <c r="G64" s="80" t="s">
        <v>189</v>
      </c>
      <c r="H64" s="37"/>
      <c r="I64" s="37"/>
      <c r="J64" s="125">
        <v>-1</v>
      </c>
      <c r="K64" s="125">
        <v>-1</v>
      </c>
      <c r="L64" s="125">
        <v>-1</v>
      </c>
      <c r="M64" s="125">
        <v>-1</v>
      </c>
      <c r="N64" s="125">
        <v>-1</v>
      </c>
      <c r="O64" s="125">
        <v>-1</v>
      </c>
      <c r="P64" s="125">
        <v>-1</v>
      </c>
      <c r="Q64" s="125">
        <v>-1</v>
      </c>
      <c r="R64" s="125">
        <v>0</v>
      </c>
      <c r="S64" s="125">
        <v>0</v>
      </c>
      <c r="T64" s="81"/>
      <c r="U64" s="81"/>
    </row>
    <row r="65" spans="5:23" x14ac:dyDescent="0.25">
      <c r="G65" s="13"/>
      <c r="J65" s="89"/>
      <c r="K65" s="89"/>
      <c r="L65" s="89"/>
      <c r="M65" s="89"/>
      <c r="N65" s="89"/>
      <c r="O65" s="89"/>
      <c r="P65" s="89"/>
      <c r="Q65" s="89"/>
      <c r="R65" s="89"/>
      <c r="S65" s="89"/>
      <c r="T65" s="89"/>
      <c r="U65" s="89"/>
    </row>
    <row r="66" spans="5:23" x14ac:dyDescent="0.25">
      <c r="E66" s="32" t="s">
        <v>399</v>
      </c>
      <c r="G66" s="13"/>
      <c r="J66" s="89"/>
      <c r="K66" s="89"/>
      <c r="L66" s="89"/>
      <c r="M66" s="89"/>
      <c r="N66" s="89"/>
      <c r="O66" s="89"/>
      <c r="P66" s="89"/>
      <c r="Q66" s="89"/>
      <c r="R66" s="89"/>
      <c r="S66" s="89"/>
      <c r="T66" s="89"/>
      <c r="U66" s="89"/>
    </row>
    <row r="67" spans="5:23" x14ac:dyDescent="0.25">
      <c r="E67" s="29" t="s">
        <v>400</v>
      </c>
      <c r="G67" s="13"/>
      <c r="J67" s="89"/>
      <c r="K67" s="89"/>
      <c r="L67" s="89"/>
      <c r="M67" s="89"/>
      <c r="N67" s="89"/>
      <c r="O67" s="89"/>
      <c r="P67" s="89"/>
      <c r="Q67" s="89"/>
      <c r="R67" s="89"/>
      <c r="S67" s="89"/>
      <c r="T67" s="89"/>
      <c r="U67" s="89"/>
    </row>
    <row r="68" spans="5:23" x14ac:dyDescent="0.25">
      <c r="F68" s="23" t="s">
        <v>893</v>
      </c>
      <c r="G68" s="78" t="s">
        <v>189</v>
      </c>
      <c r="H68" s="23"/>
      <c r="I68" s="23"/>
      <c r="J68" s="126">
        <f t="shared" ref="J68:S68" si="5">IF(J$38 = "", J46, J46 * J$38)</f>
        <v>1</v>
      </c>
      <c r="K68" s="126">
        <f t="shared" si="5"/>
        <v>1</v>
      </c>
      <c r="L68" s="126">
        <f t="shared" si="5"/>
        <v>1</v>
      </c>
      <c r="M68" s="126">
        <f t="shared" si="5"/>
        <v>1</v>
      </c>
      <c r="N68" s="126">
        <f t="shared" si="5"/>
        <v>1</v>
      </c>
      <c r="O68" s="126">
        <f t="shared" si="5"/>
        <v>1</v>
      </c>
      <c r="P68" s="126">
        <f t="shared" si="5"/>
        <v>0</v>
      </c>
      <c r="Q68" s="126">
        <f t="shared" si="5"/>
        <v>1</v>
      </c>
      <c r="R68" s="126">
        <f t="shared" si="5"/>
        <v>1</v>
      </c>
      <c r="S68" s="126">
        <f t="shared" si="5"/>
        <v>1</v>
      </c>
      <c r="T68" s="83"/>
      <c r="U68" s="83"/>
      <c r="W68" s="3"/>
    </row>
    <row r="69" spans="5:23" x14ac:dyDescent="0.25">
      <c r="F69" t="s">
        <v>895</v>
      </c>
      <c r="G69" s="72" t="s">
        <v>189</v>
      </c>
      <c r="J69" s="98">
        <f t="shared" ref="J69:S69" si="6">IF(J$38 = "", J47, J47 * J$38)</f>
        <v>1</v>
      </c>
      <c r="K69" s="98">
        <f t="shared" si="6"/>
        <v>1</v>
      </c>
      <c r="L69" s="98">
        <f t="shared" si="6"/>
        <v>1</v>
      </c>
      <c r="M69" s="98">
        <f t="shared" si="6"/>
        <v>1</v>
      </c>
      <c r="N69" s="98">
        <f t="shared" si="6"/>
        <v>1</v>
      </c>
      <c r="O69" s="98">
        <f t="shared" si="6"/>
        <v>1</v>
      </c>
      <c r="P69" s="98">
        <f t="shared" si="6"/>
        <v>0</v>
      </c>
      <c r="Q69" s="98">
        <f t="shared" si="6"/>
        <v>1</v>
      </c>
      <c r="R69" s="98">
        <f t="shared" si="6"/>
        <v>1</v>
      </c>
      <c r="S69" s="98">
        <f t="shared" si="6"/>
        <v>1</v>
      </c>
      <c r="T69" s="79"/>
      <c r="U69" s="79"/>
    </row>
    <row r="70" spans="5:23" x14ac:dyDescent="0.25">
      <c r="F70" t="s">
        <v>894</v>
      </c>
      <c r="G70" s="72" t="s">
        <v>189</v>
      </c>
      <c r="J70" s="98">
        <f t="shared" ref="J70:S70" si="7">IF(J$38 = "", J48, J48 * J$38)</f>
        <v>1</v>
      </c>
      <c r="K70" s="98">
        <f t="shared" si="7"/>
        <v>1</v>
      </c>
      <c r="L70" s="98">
        <f t="shared" si="7"/>
        <v>1</v>
      </c>
      <c r="M70" s="98">
        <f t="shared" si="7"/>
        <v>1</v>
      </c>
      <c r="N70" s="98">
        <f t="shared" si="7"/>
        <v>1</v>
      </c>
      <c r="O70" s="98">
        <f t="shared" si="7"/>
        <v>1</v>
      </c>
      <c r="P70" s="98">
        <f t="shared" si="7"/>
        <v>0</v>
      </c>
      <c r="Q70" s="98">
        <f t="shared" si="7"/>
        <v>1</v>
      </c>
      <c r="R70" s="98">
        <f t="shared" si="7"/>
        <v>1</v>
      </c>
      <c r="S70" s="98">
        <f t="shared" si="7"/>
        <v>1</v>
      </c>
      <c r="T70" s="79"/>
      <c r="U70" s="79"/>
    </row>
    <row r="71" spans="5:23" x14ac:dyDescent="0.25">
      <c r="F71" t="s">
        <v>896</v>
      </c>
      <c r="G71" s="72" t="s">
        <v>189</v>
      </c>
      <c r="J71" s="98">
        <f t="shared" ref="J71:S71" si="8">IF(J$38 = "", J49, J49 * J$38)</f>
        <v>1</v>
      </c>
      <c r="K71" s="98">
        <f t="shared" si="8"/>
        <v>1</v>
      </c>
      <c r="L71" s="98">
        <f t="shared" si="8"/>
        <v>1</v>
      </c>
      <c r="M71" s="98">
        <f t="shared" si="8"/>
        <v>1</v>
      </c>
      <c r="N71" s="98">
        <f t="shared" si="8"/>
        <v>1</v>
      </c>
      <c r="O71" s="98">
        <f t="shared" si="8"/>
        <v>1</v>
      </c>
      <c r="P71" s="98">
        <f t="shared" si="8"/>
        <v>0</v>
      </c>
      <c r="Q71" s="98">
        <f t="shared" si="8"/>
        <v>1</v>
      </c>
      <c r="R71" s="98">
        <f t="shared" si="8"/>
        <v>1</v>
      </c>
      <c r="S71" s="98">
        <f t="shared" si="8"/>
        <v>1</v>
      </c>
      <c r="T71" s="79"/>
      <c r="U71" s="79"/>
    </row>
    <row r="72" spans="5:23" x14ac:dyDescent="0.25">
      <c r="F72" t="s">
        <v>902</v>
      </c>
      <c r="G72" s="72" t="s">
        <v>189</v>
      </c>
      <c r="J72" s="98">
        <f t="shared" ref="J72:S72" si="9">IF(J$38 = "", J50, J50 * J$38)</f>
        <v>1</v>
      </c>
      <c r="K72" s="98">
        <f t="shared" si="9"/>
        <v>1</v>
      </c>
      <c r="L72" s="98">
        <f t="shared" si="9"/>
        <v>1</v>
      </c>
      <c r="M72" s="98">
        <f t="shared" si="9"/>
        <v>1</v>
      </c>
      <c r="N72" s="98">
        <f t="shared" si="9"/>
        <v>1</v>
      </c>
      <c r="O72" s="98">
        <f t="shared" si="9"/>
        <v>1</v>
      </c>
      <c r="P72" s="98">
        <f t="shared" si="9"/>
        <v>0</v>
      </c>
      <c r="Q72" s="98">
        <f t="shared" si="9"/>
        <v>1</v>
      </c>
      <c r="R72" s="98">
        <f t="shared" si="9"/>
        <v>1</v>
      </c>
      <c r="S72" s="98">
        <f t="shared" si="9"/>
        <v>1</v>
      </c>
      <c r="T72" s="79"/>
      <c r="U72" s="79"/>
    </row>
    <row r="73" spans="5:23" x14ac:dyDescent="0.25">
      <c r="F73" t="s">
        <v>903</v>
      </c>
      <c r="G73" s="72" t="s">
        <v>189</v>
      </c>
      <c r="J73" s="98">
        <f t="shared" ref="J73:S73" si="10">IF(J$38 = "", J51, J51 * J$38)</f>
        <v>1</v>
      </c>
      <c r="K73" s="98">
        <f t="shared" si="10"/>
        <v>1</v>
      </c>
      <c r="L73" s="98">
        <f t="shared" si="10"/>
        <v>1</v>
      </c>
      <c r="M73" s="98">
        <f t="shared" si="10"/>
        <v>1</v>
      </c>
      <c r="N73" s="98">
        <f t="shared" si="10"/>
        <v>1</v>
      </c>
      <c r="O73" s="98">
        <f t="shared" si="10"/>
        <v>1</v>
      </c>
      <c r="P73" s="98">
        <f t="shared" si="10"/>
        <v>0</v>
      </c>
      <c r="Q73" s="98">
        <f t="shared" si="10"/>
        <v>1</v>
      </c>
      <c r="R73" s="98">
        <f t="shared" si="10"/>
        <v>1</v>
      </c>
      <c r="S73" s="98">
        <f t="shared" si="10"/>
        <v>0</v>
      </c>
      <c r="T73" s="79"/>
      <c r="U73" s="79"/>
    </row>
    <row r="74" spans="5:23" x14ac:dyDescent="0.25">
      <c r="F74" t="s">
        <v>904</v>
      </c>
      <c r="G74" s="72" t="s">
        <v>189</v>
      </c>
      <c r="J74" s="98">
        <f t="shared" ref="J74:S74" si="11">IF(J$38 = "", J52, J52 * J$38)</f>
        <v>1</v>
      </c>
      <c r="K74" s="98">
        <f t="shared" si="11"/>
        <v>1</v>
      </c>
      <c r="L74" s="98">
        <f t="shared" si="11"/>
        <v>1</v>
      </c>
      <c r="M74" s="98">
        <f t="shared" si="11"/>
        <v>1</v>
      </c>
      <c r="N74" s="98">
        <f t="shared" si="11"/>
        <v>1</v>
      </c>
      <c r="O74" s="98">
        <f t="shared" si="11"/>
        <v>1</v>
      </c>
      <c r="P74" s="98">
        <f t="shared" si="11"/>
        <v>0</v>
      </c>
      <c r="Q74" s="98">
        <f t="shared" si="11"/>
        <v>1</v>
      </c>
      <c r="R74" s="98">
        <f t="shared" si="11"/>
        <v>0</v>
      </c>
      <c r="S74" s="98">
        <f t="shared" si="11"/>
        <v>0</v>
      </c>
      <c r="T74" s="79"/>
      <c r="U74" s="79"/>
    </row>
    <row r="75" spans="5:23" x14ac:dyDescent="0.25">
      <c r="F75" t="s">
        <v>1027</v>
      </c>
      <c r="G75" s="72" t="s">
        <v>189</v>
      </c>
      <c r="J75" s="98">
        <f t="shared" ref="J75:S75" si="12">IF(J$38 = "", J53, J53 * J$38)</f>
        <v>1</v>
      </c>
      <c r="K75" s="98">
        <f t="shared" si="12"/>
        <v>1</v>
      </c>
      <c r="L75" s="98">
        <f t="shared" si="12"/>
        <v>1</v>
      </c>
      <c r="M75" s="98">
        <f t="shared" si="12"/>
        <v>1</v>
      </c>
      <c r="N75" s="98">
        <f t="shared" si="12"/>
        <v>1</v>
      </c>
      <c r="O75" s="98">
        <f t="shared" si="12"/>
        <v>1</v>
      </c>
      <c r="P75" s="98">
        <f t="shared" si="12"/>
        <v>0</v>
      </c>
      <c r="Q75" s="98">
        <f t="shared" si="12"/>
        <v>1</v>
      </c>
      <c r="R75" s="98">
        <f t="shared" si="12"/>
        <v>1</v>
      </c>
      <c r="S75" s="98">
        <f t="shared" si="12"/>
        <v>1</v>
      </c>
      <c r="T75" s="79"/>
      <c r="U75" s="79"/>
    </row>
    <row r="76" spans="5:23" x14ac:dyDescent="0.25">
      <c r="F76" t="s">
        <v>1028</v>
      </c>
      <c r="G76" s="72" t="s">
        <v>189</v>
      </c>
      <c r="J76" s="98">
        <f t="shared" ref="J76:S76" si="13">IF(J$38 = "", J54, J54 * J$38)</f>
        <v>1</v>
      </c>
      <c r="K76" s="98">
        <f t="shared" si="13"/>
        <v>1</v>
      </c>
      <c r="L76" s="98">
        <f t="shared" si="13"/>
        <v>1</v>
      </c>
      <c r="M76" s="98">
        <f t="shared" si="13"/>
        <v>1</v>
      </c>
      <c r="N76" s="98">
        <f t="shared" si="13"/>
        <v>1</v>
      </c>
      <c r="O76" s="98">
        <f t="shared" si="13"/>
        <v>1</v>
      </c>
      <c r="P76" s="98">
        <f t="shared" si="13"/>
        <v>0</v>
      </c>
      <c r="Q76" s="98">
        <f t="shared" si="13"/>
        <v>1</v>
      </c>
      <c r="R76" s="98">
        <f t="shared" si="13"/>
        <v>1</v>
      </c>
      <c r="S76" s="98">
        <f t="shared" si="13"/>
        <v>0</v>
      </c>
      <c r="T76" s="79"/>
      <c r="U76" s="79"/>
    </row>
    <row r="77" spans="5:23" x14ac:dyDescent="0.25">
      <c r="F77" t="s">
        <v>1029</v>
      </c>
      <c r="G77" s="72" t="s">
        <v>189</v>
      </c>
      <c r="J77" s="98">
        <f t="shared" ref="J77:S77" si="14">IF(J$38 = "", J55, J55 * J$38)</f>
        <v>1</v>
      </c>
      <c r="K77" s="98">
        <f t="shared" si="14"/>
        <v>1</v>
      </c>
      <c r="L77" s="98">
        <f t="shared" si="14"/>
        <v>1</v>
      </c>
      <c r="M77" s="98">
        <f t="shared" si="14"/>
        <v>1</v>
      </c>
      <c r="N77" s="98">
        <f t="shared" si="14"/>
        <v>1</v>
      </c>
      <c r="O77" s="98">
        <f t="shared" si="14"/>
        <v>1</v>
      </c>
      <c r="P77" s="98">
        <f t="shared" si="14"/>
        <v>0</v>
      </c>
      <c r="Q77" s="98">
        <f t="shared" si="14"/>
        <v>1</v>
      </c>
      <c r="R77" s="98">
        <f t="shared" si="14"/>
        <v>0</v>
      </c>
      <c r="S77" s="98">
        <f t="shared" si="14"/>
        <v>0</v>
      </c>
      <c r="T77" s="79"/>
      <c r="U77" s="79"/>
    </row>
    <row r="78" spans="5:23" x14ac:dyDescent="0.25">
      <c r="F78" t="s">
        <v>905</v>
      </c>
      <c r="G78" s="72" t="s">
        <v>189</v>
      </c>
      <c r="J78" s="98">
        <f t="shared" ref="J78:S78" si="15">IF(J$38 = "", J56, J56 * J$38)</f>
        <v>1</v>
      </c>
      <c r="K78" s="98">
        <f t="shared" si="15"/>
        <v>1</v>
      </c>
      <c r="L78" s="98">
        <f t="shared" si="15"/>
        <v>1</v>
      </c>
      <c r="M78" s="98">
        <f t="shared" si="15"/>
        <v>1</v>
      </c>
      <c r="N78" s="98">
        <f t="shared" si="15"/>
        <v>1</v>
      </c>
      <c r="O78" s="98">
        <f t="shared" si="15"/>
        <v>1</v>
      </c>
      <c r="P78" s="98">
        <f t="shared" si="15"/>
        <v>0</v>
      </c>
      <c r="Q78" s="98">
        <f t="shared" si="15"/>
        <v>1</v>
      </c>
      <c r="R78" s="98">
        <f t="shared" si="15"/>
        <v>1</v>
      </c>
      <c r="S78" s="98">
        <f t="shared" si="15"/>
        <v>1</v>
      </c>
      <c r="T78" s="79"/>
      <c r="U78" s="79"/>
    </row>
    <row r="79" spans="5:23" x14ac:dyDescent="0.25">
      <c r="F79" t="s">
        <v>897</v>
      </c>
      <c r="G79" s="72" t="s">
        <v>189</v>
      </c>
      <c r="J79" s="98">
        <f t="shared" ref="J79:S79" si="16">IF(J$38 = "", J57, J57 * J$38)</f>
        <v>-1</v>
      </c>
      <c r="K79" s="98">
        <f t="shared" si="16"/>
        <v>-1</v>
      </c>
      <c r="L79" s="98">
        <f t="shared" si="16"/>
        <v>-1</v>
      </c>
      <c r="M79" s="98">
        <f t="shared" si="16"/>
        <v>-1</v>
      </c>
      <c r="N79" s="98">
        <f t="shared" si="16"/>
        <v>-1</v>
      </c>
      <c r="O79" s="98">
        <f t="shared" si="16"/>
        <v>-1</v>
      </c>
      <c r="P79" s="98">
        <f t="shared" si="16"/>
        <v>0</v>
      </c>
      <c r="Q79" s="98">
        <f t="shared" si="16"/>
        <v>-1</v>
      </c>
      <c r="R79" s="98">
        <f t="shared" si="16"/>
        <v>-1</v>
      </c>
      <c r="S79" s="98">
        <f t="shared" si="16"/>
        <v>-1</v>
      </c>
      <c r="T79" s="79"/>
      <c r="U79" s="79"/>
    </row>
    <row r="80" spans="5:23" x14ac:dyDescent="0.25">
      <c r="F80" t="s">
        <v>898</v>
      </c>
      <c r="G80" s="72" t="s">
        <v>189</v>
      </c>
      <c r="J80" s="98">
        <f t="shared" ref="J80:S80" si="17">IF(J$38 = "", J58, J58 * J$38)</f>
        <v>-1</v>
      </c>
      <c r="K80" s="98">
        <f t="shared" si="17"/>
        <v>-1</v>
      </c>
      <c r="L80" s="98">
        <f t="shared" si="17"/>
        <v>-1</v>
      </c>
      <c r="M80" s="98">
        <f t="shared" si="17"/>
        <v>-1</v>
      </c>
      <c r="N80" s="98">
        <f t="shared" si="17"/>
        <v>-1</v>
      </c>
      <c r="O80" s="98">
        <f t="shared" si="17"/>
        <v>-1</v>
      </c>
      <c r="P80" s="98">
        <f t="shared" si="17"/>
        <v>0</v>
      </c>
      <c r="Q80" s="98">
        <f t="shared" si="17"/>
        <v>-1</v>
      </c>
      <c r="R80" s="98">
        <f t="shared" si="17"/>
        <v>-1</v>
      </c>
      <c r="S80" s="98">
        <f t="shared" si="17"/>
        <v>0</v>
      </c>
      <c r="T80" s="79"/>
      <c r="U80" s="79"/>
    </row>
    <row r="81" spans="5:23" x14ac:dyDescent="0.25">
      <c r="F81" t="s">
        <v>899</v>
      </c>
      <c r="G81" s="72" t="s">
        <v>189</v>
      </c>
      <c r="J81" s="98">
        <f t="shared" ref="J81:S81" si="18">IF(J$38 = "", J59, J59 * J$38)</f>
        <v>-1</v>
      </c>
      <c r="K81" s="98">
        <f t="shared" si="18"/>
        <v>-1</v>
      </c>
      <c r="L81" s="98">
        <f t="shared" si="18"/>
        <v>-1</v>
      </c>
      <c r="M81" s="98">
        <f t="shared" si="18"/>
        <v>-1</v>
      </c>
      <c r="N81" s="98">
        <f t="shared" si="18"/>
        <v>-1</v>
      </c>
      <c r="O81" s="98">
        <f t="shared" si="18"/>
        <v>-1</v>
      </c>
      <c r="P81" s="98">
        <f t="shared" si="18"/>
        <v>0</v>
      </c>
      <c r="Q81" s="98">
        <f t="shared" si="18"/>
        <v>-1</v>
      </c>
      <c r="R81" s="98">
        <f t="shared" si="18"/>
        <v>-1</v>
      </c>
      <c r="S81" s="98">
        <f t="shared" si="18"/>
        <v>-1</v>
      </c>
      <c r="T81" s="79"/>
      <c r="U81" s="79"/>
    </row>
    <row r="82" spans="5:23" x14ac:dyDescent="0.25">
      <c r="F82" t="s">
        <v>908</v>
      </c>
      <c r="G82" s="72" t="s">
        <v>189</v>
      </c>
      <c r="J82" s="98">
        <f t="shared" ref="J82:S82" si="19">IF(J$38 = "", J60, J60 * J$38)</f>
        <v>-1</v>
      </c>
      <c r="K82" s="98">
        <f t="shared" si="19"/>
        <v>-1</v>
      </c>
      <c r="L82" s="98">
        <f t="shared" si="19"/>
        <v>-1</v>
      </c>
      <c r="M82" s="98">
        <f t="shared" si="19"/>
        <v>-1</v>
      </c>
      <c r="N82" s="98">
        <f t="shared" si="19"/>
        <v>-1</v>
      </c>
      <c r="O82" s="98">
        <f t="shared" si="19"/>
        <v>-1</v>
      </c>
      <c r="P82" s="98">
        <f t="shared" si="19"/>
        <v>0</v>
      </c>
      <c r="Q82" s="98">
        <f t="shared" si="19"/>
        <v>-1</v>
      </c>
      <c r="R82" s="98">
        <f t="shared" si="19"/>
        <v>-1</v>
      </c>
      <c r="S82" s="98">
        <f t="shared" si="19"/>
        <v>-1</v>
      </c>
      <c r="T82" s="79"/>
      <c r="U82" s="79"/>
    </row>
    <row r="83" spans="5:23" x14ac:dyDescent="0.25">
      <c r="F83" t="s">
        <v>900</v>
      </c>
      <c r="G83" s="72" t="s">
        <v>189</v>
      </c>
      <c r="J83" s="98">
        <f t="shared" ref="J83:S83" si="20">IF(J$38 = "", J61, J61 * J$38)</f>
        <v>-1</v>
      </c>
      <c r="K83" s="98">
        <f t="shared" si="20"/>
        <v>-1</v>
      </c>
      <c r="L83" s="98">
        <f t="shared" si="20"/>
        <v>-1</v>
      </c>
      <c r="M83" s="98">
        <f t="shared" si="20"/>
        <v>-1</v>
      </c>
      <c r="N83" s="98">
        <f t="shared" si="20"/>
        <v>-1</v>
      </c>
      <c r="O83" s="98">
        <f t="shared" si="20"/>
        <v>-1</v>
      </c>
      <c r="P83" s="98">
        <f t="shared" si="20"/>
        <v>0</v>
      </c>
      <c r="Q83" s="98">
        <f t="shared" si="20"/>
        <v>-1</v>
      </c>
      <c r="R83" s="98">
        <f t="shared" si="20"/>
        <v>-1</v>
      </c>
      <c r="S83" s="98">
        <f t="shared" si="20"/>
        <v>0</v>
      </c>
      <c r="T83" s="79"/>
      <c r="U83" s="79"/>
    </row>
    <row r="84" spans="5:23" x14ac:dyDescent="0.25">
      <c r="F84" t="s">
        <v>907</v>
      </c>
      <c r="G84" s="72" t="s">
        <v>189</v>
      </c>
      <c r="J84" s="98">
        <f t="shared" ref="J84:S84" si="21">IF(J$38 = "", J62, J62 * J$38)</f>
        <v>-1</v>
      </c>
      <c r="K84" s="98">
        <f t="shared" si="21"/>
        <v>-1</v>
      </c>
      <c r="L84" s="98">
        <f t="shared" si="21"/>
        <v>-1</v>
      </c>
      <c r="M84" s="98">
        <f t="shared" si="21"/>
        <v>-1</v>
      </c>
      <c r="N84" s="98">
        <f t="shared" si="21"/>
        <v>-1</v>
      </c>
      <c r="O84" s="98">
        <f t="shared" si="21"/>
        <v>-1</v>
      </c>
      <c r="P84" s="98">
        <f t="shared" si="21"/>
        <v>0</v>
      </c>
      <c r="Q84" s="98">
        <f t="shared" si="21"/>
        <v>-1</v>
      </c>
      <c r="R84" s="98">
        <f t="shared" si="21"/>
        <v>-1</v>
      </c>
      <c r="S84" s="98">
        <f t="shared" si="21"/>
        <v>0</v>
      </c>
      <c r="T84" s="79"/>
      <c r="U84" s="79"/>
    </row>
    <row r="85" spans="5:23" x14ac:dyDescent="0.25">
      <c r="F85" t="s">
        <v>901</v>
      </c>
      <c r="G85" s="72" t="s">
        <v>189</v>
      </c>
      <c r="J85" s="98">
        <f t="shared" ref="J85:S85" si="22">IF(J$38 = "", J63, J63 * J$38)</f>
        <v>-1</v>
      </c>
      <c r="K85" s="98">
        <f t="shared" si="22"/>
        <v>-1</v>
      </c>
      <c r="L85" s="98">
        <f t="shared" si="22"/>
        <v>-1</v>
      </c>
      <c r="M85" s="98">
        <f t="shared" si="22"/>
        <v>-1</v>
      </c>
      <c r="N85" s="98">
        <f t="shared" si="22"/>
        <v>-1</v>
      </c>
      <c r="O85" s="98">
        <f t="shared" si="22"/>
        <v>-1</v>
      </c>
      <c r="P85" s="98">
        <f t="shared" si="22"/>
        <v>0</v>
      </c>
      <c r="Q85" s="98">
        <f t="shared" si="22"/>
        <v>-1</v>
      </c>
      <c r="R85" s="98">
        <f t="shared" si="22"/>
        <v>0</v>
      </c>
      <c r="S85" s="98">
        <f t="shared" si="22"/>
        <v>0</v>
      </c>
      <c r="T85" s="79"/>
      <c r="U85" s="79"/>
    </row>
    <row r="86" spans="5:23" x14ac:dyDescent="0.25">
      <c r="F86" s="37" t="s">
        <v>906</v>
      </c>
      <c r="G86" s="80" t="s">
        <v>189</v>
      </c>
      <c r="H86" s="37"/>
      <c r="I86" s="37"/>
      <c r="J86" s="100">
        <f t="shared" ref="J86:S86" si="23">IF(J$38 = "", J64, J64 * J$38)</f>
        <v>-1</v>
      </c>
      <c r="K86" s="100">
        <f t="shared" si="23"/>
        <v>-1</v>
      </c>
      <c r="L86" s="100">
        <f t="shared" si="23"/>
        <v>-1</v>
      </c>
      <c r="M86" s="100">
        <f t="shared" si="23"/>
        <v>-1</v>
      </c>
      <c r="N86" s="100">
        <f t="shared" si="23"/>
        <v>-1</v>
      </c>
      <c r="O86" s="100">
        <f t="shared" si="23"/>
        <v>-1</v>
      </c>
      <c r="P86" s="100">
        <f t="shared" si="23"/>
        <v>0</v>
      </c>
      <c r="Q86" s="100">
        <f t="shared" si="23"/>
        <v>-1</v>
      </c>
      <c r="R86" s="100">
        <f t="shared" si="23"/>
        <v>0</v>
      </c>
      <c r="S86" s="100">
        <f t="shared" si="23"/>
        <v>0</v>
      </c>
      <c r="T86" s="81"/>
      <c r="U86" s="81"/>
    </row>
    <row r="87" spans="5:23" x14ac:dyDescent="0.25">
      <c r="G87" s="13"/>
      <c r="J87" s="89"/>
      <c r="K87" s="89"/>
      <c r="L87" s="89"/>
      <c r="M87" s="89"/>
      <c r="N87" s="89"/>
      <c r="O87" s="89"/>
      <c r="P87" s="89"/>
      <c r="Q87" s="89"/>
      <c r="R87" s="89"/>
      <c r="S87" s="89"/>
      <c r="T87" s="89"/>
      <c r="U87" s="89"/>
    </row>
    <row r="88" spans="5:23" x14ac:dyDescent="0.25">
      <c r="E88" s="32" t="s">
        <v>199</v>
      </c>
      <c r="G88" s="13"/>
      <c r="I88" t="s">
        <v>153</v>
      </c>
      <c r="J88" s="89"/>
      <c r="K88" s="89"/>
      <c r="L88" s="89"/>
      <c r="M88" s="89"/>
      <c r="N88" s="89"/>
      <c r="O88" s="89"/>
      <c r="P88" s="89"/>
      <c r="Q88" s="89"/>
      <c r="R88" s="89"/>
      <c r="S88" s="89"/>
      <c r="T88" s="89"/>
      <c r="U88" s="89"/>
      <c r="W88" s="3" t="s">
        <v>401</v>
      </c>
    </row>
    <row r="89" spans="5:23" x14ac:dyDescent="0.25">
      <c r="E89" s="29" t="s">
        <v>201</v>
      </c>
      <c r="G89" s="13"/>
      <c r="J89" s="89"/>
      <c r="K89" s="89"/>
      <c r="L89" s="89"/>
      <c r="M89" s="89"/>
      <c r="N89" s="89"/>
      <c r="O89" s="89"/>
      <c r="P89" s="89"/>
      <c r="Q89" s="89"/>
      <c r="R89" s="89"/>
      <c r="S89" s="89"/>
      <c r="T89" s="89"/>
      <c r="U89" s="89"/>
    </row>
    <row r="90" spans="5:23" x14ac:dyDescent="0.25">
      <c r="F90" s="23" t="s">
        <v>893</v>
      </c>
      <c r="G90" s="78" t="s">
        <v>175</v>
      </c>
      <c r="H90" s="23"/>
      <c r="I90" s="23"/>
      <c r="J90" s="124">
        <f t="array" ref="J90:S108">TRANSPOSE('Fixed inputs'!J73:AB82)</f>
        <v>1</v>
      </c>
      <c r="K90" s="124">
        <v>1</v>
      </c>
      <c r="L90" s="124">
        <v>1</v>
      </c>
      <c r="M90" s="124">
        <v>1</v>
      </c>
      <c r="N90" s="124">
        <v>1</v>
      </c>
      <c r="O90" s="124">
        <v>1</v>
      </c>
      <c r="P90" s="124">
        <v>1</v>
      </c>
      <c r="Q90" s="124">
        <v>1</v>
      </c>
      <c r="R90" s="124">
        <v>1</v>
      </c>
      <c r="S90" s="124">
        <v>1</v>
      </c>
      <c r="T90" s="83"/>
      <c r="U90" s="83"/>
    </row>
    <row r="91" spans="5:23" x14ac:dyDescent="0.25">
      <c r="F91" t="s">
        <v>895</v>
      </c>
      <c r="G91" s="72" t="s">
        <v>175</v>
      </c>
      <c r="J91" s="120">
        <v>1</v>
      </c>
      <c r="K91" s="120">
        <v>1</v>
      </c>
      <c r="L91" s="120">
        <v>1</v>
      </c>
      <c r="M91" s="120">
        <v>1</v>
      </c>
      <c r="N91" s="120">
        <v>1</v>
      </c>
      <c r="O91" s="120">
        <v>1</v>
      </c>
      <c r="P91" s="120">
        <v>1</v>
      </c>
      <c r="Q91" s="120">
        <v>1</v>
      </c>
      <c r="R91" s="120">
        <v>1</v>
      </c>
      <c r="S91" s="120">
        <v>1</v>
      </c>
      <c r="T91" s="79"/>
      <c r="U91" s="79"/>
    </row>
    <row r="92" spans="5:23" x14ac:dyDescent="0.25">
      <c r="F92" t="s">
        <v>894</v>
      </c>
      <c r="G92" s="72" t="s">
        <v>175</v>
      </c>
      <c r="J92" s="120">
        <v>1</v>
      </c>
      <c r="K92" s="120">
        <v>1</v>
      </c>
      <c r="L92" s="120">
        <v>1</v>
      </c>
      <c r="M92" s="120">
        <v>1</v>
      </c>
      <c r="N92" s="120">
        <v>1</v>
      </c>
      <c r="O92" s="120">
        <v>1</v>
      </c>
      <c r="P92" s="120">
        <v>1</v>
      </c>
      <c r="Q92" s="120">
        <v>1</v>
      </c>
      <c r="R92" s="120">
        <v>1</v>
      </c>
      <c r="S92" s="120">
        <v>1</v>
      </c>
      <c r="T92" s="79"/>
      <c r="U92" s="79"/>
    </row>
    <row r="93" spans="5:23" x14ac:dyDescent="0.25">
      <c r="F93" t="s">
        <v>896</v>
      </c>
      <c r="G93" s="72" t="s">
        <v>175</v>
      </c>
      <c r="J93" s="120">
        <v>1</v>
      </c>
      <c r="K93" s="120">
        <v>1</v>
      </c>
      <c r="L93" s="120">
        <v>1</v>
      </c>
      <c r="M93" s="120">
        <v>1</v>
      </c>
      <c r="N93" s="120">
        <v>1</v>
      </c>
      <c r="O93" s="120">
        <v>1</v>
      </c>
      <c r="P93" s="120">
        <v>1</v>
      </c>
      <c r="Q93" s="120">
        <v>1</v>
      </c>
      <c r="R93" s="120">
        <v>1</v>
      </c>
      <c r="S93" s="120">
        <v>1</v>
      </c>
      <c r="T93" s="79"/>
      <c r="U93" s="79"/>
    </row>
    <row r="94" spans="5:23" x14ac:dyDescent="0.25">
      <c r="F94" t="s">
        <v>902</v>
      </c>
      <c r="G94" s="72" t="s">
        <v>175</v>
      </c>
      <c r="J94" s="120">
        <v>1</v>
      </c>
      <c r="K94" s="120">
        <v>1</v>
      </c>
      <c r="L94" s="120">
        <v>1</v>
      </c>
      <c r="M94" s="120">
        <v>1</v>
      </c>
      <c r="N94" s="120">
        <v>1</v>
      </c>
      <c r="O94" s="120">
        <v>1</v>
      </c>
      <c r="P94" s="120">
        <v>1</v>
      </c>
      <c r="Q94" s="120">
        <v>1</v>
      </c>
      <c r="R94" s="120">
        <v>1</v>
      </c>
      <c r="S94" s="120">
        <v>1</v>
      </c>
      <c r="T94" s="79"/>
      <c r="U94" s="79"/>
    </row>
    <row r="95" spans="5:23" x14ac:dyDescent="0.25">
      <c r="F95" t="s">
        <v>903</v>
      </c>
      <c r="G95" s="72" t="s">
        <v>175</v>
      </c>
      <c r="J95" s="120">
        <v>1</v>
      </c>
      <c r="K95" s="120">
        <v>1</v>
      </c>
      <c r="L95" s="120">
        <v>1</v>
      </c>
      <c r="M95" s="120">
        <v>1</v>
      </c>
      <c r="N95" s="120">
        <v>1</v>
      </c>
      <c r="O95" s="120">
        <v>1</v>
      </c>
      <c r="P95" s="120">
        <v>1</v>
      </c>
      <c r="Q95" s="120">
        <v>1</v>
      </c>
      <c r="R95" s="120">
        <v>1</v>
      </c>
      <c r="S95" s="120">
        <v>0</v>
      </c>
      <c r="T95" s="79"/>
      <c r="U95" s="79"/>
    </row>
    <row r="96" spans="5:23" x14ac:dyDescent="0.25">
      <c r="F96" t="s">
        <v>904</v>
      </c>
      <c r="G96" s="72" t="s">
        <v>175</v>
      </c>
      <c r="J96" s="120">
        <v>1</v>
      </c>
      <c r="K96" s="120">
        <v>1</v>
      </c>
      <c r="L96" s="120">
        <v>1</v>
      </c>
      <c r="M96" s="120">
        <v>1</v>
      </c>
      <c r="N96" s="120">
        <v>1</v>
      </c>
      <c r="O96" s="120">
        <v>1</v>
      </c>
      <c r="P96" s="120">
        <v>1</v>
      </c>
      <c r="Q96" s="120">
        <v>1</v>
      </c>
      <c r="R96" s="120">
        <v>0</v>
      </c>
      <c r="S96" s="120">
        <v>0</v>
      </c>
      <c r="T96" s="79"/>
      <c r="U96" s="79"/>
    </row>
    <row r="97" spans="5:23" x14ac:dyDescent="0.25">
      <c r="F97" t="s">
        <v>1027</v>
      </c>
      <c r="G97" s="72" t="s">
        <v>175</v>
      </c>
      <c r="J97" s="120">
        <v>1</v>
      </c>
      <c r="K97" s="120">
        <v>1</v>
      </c>
      <c r="L97" s="120">
        <v>1</v>
      </c>
      <c r="M97" s="120">
        <v>1</v>
      </c>
      <c r="N97" s="120">
        <v>1</v>
      </c>
      <c r="O97" s="120">
        <v>1</v>
      </c>
      <c r="P97" s="120">
        <v>1</v>
      </c>
      <c r="Q97" s="120">
        <v>1</v>
      </c>
      <c r="R97" s="120">
        <v>1</v>
      </c>
      <c r="S97" s="120">
        <v>1</v>
      </c>
      <c r="T97" s="79"/>
      <c r="U97" s="79"/>
    </row>
    <row r="98" spans="5:23" x14ac:dyDescent="0.25">
      <c r="F98" t="s">
        <v>1028</v>
      </c>
      <c r="G98" s="72" t="s">
        <v>175</v>
      </c>
      <c r="J98" s="120">
        <v>1</v>
      </c>
      <c r="K98" s="120">
        <v>1</v>
      </c>
      <c r="L98" s="120">
        <v>1</v>
      </c>
      <c r="M98" s="120">
        <v>1</v>
      </c>
      <c r="N98" s="120">
        <v>1</v>
      </c>
      <c r="O98" s="120">
        <v>1</v>
      </c>
      <c r="P98" s="120">
        <v>1</v>
      </c>
      <c r="Q98" s="120">
        <v>1</v>
      </c>
      <c r="R98" s="120">
        <v>1</v>
      </c>
      <c r="S98" s="120">
        <v>0</v>
      </c>
      <c r="T98" s="79"/>
      <c r="U98" s="79"/>
    </row>
    <row r="99" spans="5:23" x14ac:dyDescent="0.25">
      <c r="F99" t="s">
        <v>1029</v>
      </c>
      <c r="G99" s="72" t="s">
        <v>175</v>
      </c>
      <c r="J99" s="120">
        <v>1</v>
      </c>
      <c r="K99" s="120">
        <v>1</v>
      </c>
      <c r="L99" s="120">
        <v>1</v>
      </c>
      <c r="M99" s="120">
        <v>1</v>
      </c>
      <c r="N99" s="120">
        <v>1</v>
      </c>
      <c r="O99" s="120">
        <v>1</v>
      </c>
      <c r="P99" s="120">
        <v>1</v>
      </c>
      <c r="Q99" s="120">
        <v>1</v>
      </c>
      <c r="R99" s="120">
        <v>0</v>
      </c>
      <c r="S99" s="120">
        <v>0</v>
      </c>
      <c r="T99" s="79"/>
      <c r="U99" s="79"/>
    </row>
    <row r="100" spans="5:23" x14ac:dyDescent="0.25">
      <c r="F100" t="s">
        <v>905</v>
      </c>
      <c r="G100" s="72" t="s">
        <v>175</v>
      </c>
      <c r="J100" s="120">
        <v>1</v>
      </c>
      <c r="K100" s="120">
        <v>1</v>
      </c>
      <c r="L100" s="120">
        <v>1</v>
      </c>
      <c r="M100" s="120">
        <v>1</v>
      </c>
      <c r="N100" s="120">
        <v>1</v>
      </c>
      <c r="O100" s="120">
        <v>1</v>
      </c>
      <c r="P100" s="120">
        <v>1</v>
      </c>
      <c r="Q100" s="120">
        <v>1</v>
      </c>
      <c r="R100" s="120">
        <v>1</v>
      </c>
      <c r="S100" s="120">
        <v>1</v>
      </c>
      <c r="T100" s="79"/>
      <c r="U100" s="79"/>
    </row>
    <row r="101" spans="5:23" x14ac:dyDescent="0.25">
      <c r="F101" t="s">
        <v>897</v>
      </c>
      <c r="G101" s="72" t="s">
        <v>175</v>
      </c>
      <c r="J101" s="120">
        <v>-1</v>
      </c>
      <c r="K101" s="120">
        <v>-1</v>
      </c>
      <c r="L101" s="120">
        <v>-1</v>
      </c>
      <c r="M101" s="120">
        <v>-1</v>
      </c>
      <c r="N101" s="120">
        <v>-1</v>
      </c>
      <c r="O101" s="120">
        <v>-1</v>
      </c>
      <c r="P101" s="120">
        <v>-1</v>
      </c>
      <c r="Q101" s="120">
        <v>-1</v>
      </c>
      <c r="R101" s="120">
        <v>-1</v>
      </c>
      <c r="S101" s="120">
        <v>0</v>
      </c>
      <c r="T101" s="79"/>
      <c r="U101" s="79"/>
    </row>
    <row r="102" spans="5:23" x14ac:dyDescent="0.25">
      <c r="F102" t="s">
        <v>898</v>
      </c>
      <c r="G102" s="72" t="s">
        <v>175</v>
      </c>
      <c r="J102" s="120">
        <v>-1</v>
      </c>
      <c r="K102" s="120">
        <v>-1</v>
      </c>
      <c r="L102" s="120">
        <v>-1</v>
      </c>
      <c r="M102" s="120">
        <v>-1</v>
      </c>
      <c r="N102" s="120">
        <v>-1</v>
      </c>
      <c r="O102" s="120">
        <v>-1</v>
      </c>
      <c r="P102" s="120">
        <v>-1</v>
      </c>
      <c r="Q102" s="120">
        <v>-1</v>
      </c>
      <c r="R102" s="120">
        <v>0</v>
      </c>
      <c r="S102" s="120">
        <v>0</v>
      </c>
      <c r="T102" s="79"/>
      <c r="U102" s="79"/>
    </row>
    <row r="103" spans="5:23" x14ac:dyDescent="0.25">
      <c r="F103" t="s">
        <v>899</v>
      </c>
      <c r="G103" s="72" t="s">
        <v>175</v>
      </c>
      <c r="J103" s="120">
        <v>-1</v>
      </c>
      <c r="K103" s="120">
        <v>-1</v>
      </c>
      <c r="L103" s="120">
        <v>-1</v>
      </c>
      <c r="M103" s="120">
        <v>-1</v>
      </c>
      <c r="N103" s="120">
        <v>-1</v>
      </c>
      <c r="O103" s="120">
        <v>-1</v>
      </c>
      <c r="P103" s="120">
        <v>-1</v>
      </c>
      <c r="Q103" s="120">
        <v>-1</v>
      </c>
      <c r="R103" s="120">
        <v>-1</v>
      </c>
      <c r="S103" s="120">
        <v>0</v>
      </c>
      <c r="T103" s="79"/>
      <c r="U103" s="79"/>
    </row>
    <row r="104" spans="5:23" x14ac:dyDescent="0.25">
      <c r="F104" t="s">
        <v>908</v>
      </c>
      <c r="G104" s="72" t="s">
        <v>175</v>
      </c>
      <c r="J104" s="120">
        <v>-1</v>
      </c>
      <c r="K104" s="120">
        <v>-1</v>
      </c>
      <c r="L104" s="120">
        <v>-1</v>
      </c>
      <c r="M104" s="120">
        <v>-1</v>
      </c>
      <c r="N104" s="120">
        <v>-1</v>
      </c>
      <c r="O104" s="120">
        <v>-1</v>
      </c>
      <c r="P104" s="120">
        <v>-1</v>
      </c>
      <c r="Q104" s="120">
        <v>-1</v>
      </c>
      <c r="R104" s="120">
        <v>-1</v>
      </c>
      <c r="S104" s="120">
        <v>0</v>
      </c>
      <c r="T104" s="79"/>
      <c r="U104" s="79"/>
    </row>
    <row r="105" spans="5:23" x14ac:dyDescent="0.25">
      <c r="F105" t="s">
        <v>900</v>
      </c>
      <c r="G105" s="72" t="s">
        <v>175</v>
      </c>
      <c r="J105" s="120">
        <v>-1</v>
      </c>
      <c r="K105" s="120">
        <v>-1</v>
      </c>
      <c r="L105" s="120">
        <v>-1</v>
      </c>
      <c r="M105" s="120">
        <v>-1</v>
      </c>
      <c r="N105" s="120">
        <v>-1</v>
      </c>
      <c r="O105" s="120">
        <v>-1</v>
      </c>
      <c r="P105" s="120">
        <v>-1</v>
      </c>
      <c r="Q105" s="120">
        <v>-1</v>
      </c>
      <c r="R105" s="120">
        <v>0</v>
      </c>
      <c r="S105" s="120">
        <v>0</v>
      </c>
      <c r="T105" s="79"/>
      <c r="U105" s="79"/>
    </row>
    <row r="106" spans="5:23" x14ac:dyDescent="0.25">
      <c r="F106" t="s">
        <v>907</v>
      </c>
      <c r="G106" s="72" t="s">
        <v>175</v>
      </c>
      <c r="J106" s="120">
        <v>-1</v>
      </c>
      <c r="K106" s="120">
        <v>-1</v>
      </c>
      <c r="L106" s="120">
        <v>-1</v>
      </c>
      <c r="M106" s="120">
        <v>-1</v>
      </c>
      <c r="N106" s="120">
        <v>-1</v>
      </c>
      <c r="O106" s="120">
        <v>-1</v>
      </c>
      <c r="P106" s="120">
        <v>-1</v>
      </c>
      <c r="Q106" s="120">
        <v>-1</v>
      </c>
      <c r="R106" s="120">
        <v>0</v>
      </c>
      <c r="S106" s="120">
        <v>0</v>
      </c>
      <c r="T106" s="79"/>
      <c r="U106" s="79"/>
    </row>
    <row r="107" spans="5:23" x14ac:dyDescent="0.25">
      <c r="F107" t="s">
        <v>901</v>
      </c>
      <c r="G107" s="72" t="s">
        <v>175</v>
      </c>
      <c r="J107" s="120">
        <v>-1</v>
      </c>
      <c r="K107" s="120">
        <v>-1</v>
      </c>
      <c r="L107" s="120">
        <v>-1</v>
      </c>
      <c r="M107" s="120">
        <v>-1</v>
      </c>
      <c r="N107" s="120">
        <v>-1</v>
      </c>
      <c r="O107" s="120">
        <v>-1</v>
      </c>
      <c r="P107" s="120">
        <v>-1</v>
      </c>
      <c r="Q107" s="120">
        <v>0</v>
      </c>
      <c r="R107" s="120">
        <v>0</v>
      </c>
      <c r="S107" s="120">
        <v>0</v>
      </c>
      <c r="T107" s="79"/>
      <c r="U107" s="79"/>
    </row>
    <row r="108" spans="5:23" x14ac:dyDescent="0.25">
      <c r="F108" s="37" t="s">
        <v>906</v>
      </c>
      <c r="G108" s="80" t="s">
        <v>175</v>
      </c>
      <c r="H108" s="37"/>
      <c r="I108" s="37"/>
      <c r="J108" s="125">
        <v>-1</v>
      </c>
      <c r="K108" s="125">
        <v>-1</v>
      </c>
      <c r="L108" s="125">
        <v>-1</v>
      </c>
      <c r="M108" s="125">
        <v>-1</v>
      </c>
      <c r="N108" s="125">
        <v>-1</v>
      </c>
      <c r="O108" s="125">
        <v>-1</v>
      </c>
      <c r="P108" s="125">
        <v>-1</v>
      </c>
      <c r="Q108" s="125">
        <v>0</v>
      </c>
      <c r="R108" s="125">
        <v>0</v>
      </c>
      <c r="S108" s="125">
        <v>0</v>
      </c>
      <c r="T108" s="81"/>
      <c r="U108" s="81"/>
    </row>
    <row r="109" spans="5:23" x14ac:dyDescent="0.25">
      <c r="G109" s="13"/>
      <c r="J109" s="89"/>
      <c r="K109" s="89"/>
      <c r="L109" s="89"/>
      <c r="M109" s="89"/>
      <c r="N109" s="89"/>
      <c r="O109" s="89"/>
      <c r="P109" s="89"/>
      <c r="Q109" s="89"/>
      <c r="R109" s="89"/>
      <c r="S109" s="89"/>
      <c r="T109" s="89"/>
      <c r="U109" s="89"/>
    </row>
    <row r="110" spans="5:23" x14ac:dyDescent="0.25">
      <c r="E110" s="32" t="s">
        <v>402</v>
      </c>
      <c r="G110" s="13"/>
      <c r="I110" t="s">
        <v>153</v>
      </c>
      <c r="J110" s="89"/>
      <c r="K110" s="89"/>
      <c r="L110" s="89"/>
      <c r="M110" s="89"/>
      <c r="N110" s="89"/>
      <c r="O110" s="89"/>
      <c r="P110" s="89"/>
      <c r="Q110" s="89"/>
      <c r="R110" s="89"/>
      <c r="S110" s="89"/>
      <c r="T110" s="89"/>
      <c r="U110" s="89"/>
      <c r="W110" s="3" t="s">
        <v>401</v>
      </c>
    </row>
    <row r="111" spans="5:23" x14ac:dyDescent="0.25">
      <c r="E111" s="29" t="s">
        <v>201</v>
      </c>
      <c r="G111" s="13"/>
      <c r="J111" s="89"/>
      <c r="K111" s="89"/>
      <c r="L111" s="89"/>
      <c r="M111" s="89"/>
      <c r="N111" s="89"/>
      <c r="O111" s="89"/>
      <c r="P111" s="89"/>
      <c r="Q111" s="89"/>
      <c r="R111" s="89"/>
      <c r="S111" s="89"/>
      <c r="T111" s="89"/>
      <c r="U111" s="89"/>
    </row>
    <row r="112" spans="5:23" x14ac:dyDescent="0.25">
      <c r="E112" s="29" t="s">
        <v>400</v>
      </c>
      <c r="G112" s="13"/>
      <c r="J112" s="89"/>
      <c r="K112" s="89"/>
      <c r="L112" s="89"/>
      <c r="M112" s="89"/>
      <c r="N112" s="89"/>
      <c r="O112" s="89"/>
      <c r="P112" s="89"/>
      <c r="Q112" s="89"/>
      <c r="R112" s="89"/>
      <c r="S112" s="89"/>
      <c r="T112" s="89"/>
      <c r="U112" s="89"/>
    </row>
    <row r="113" spans="6:21" x14ac:dyDescent="0.25">
      <c r="F113" s="23" t="s">
        <v>893</v>
      </c>
      <c r="G113" s="78" t="s">
        <v>175</v>
      </c>
      <c r="H113" s="23"/>
      <c r="I113" s="23"/>
      <c r="J113" s="126">
        <f t="shared" ref="J113:S113" si="24">IF(J$38 = "", J90, J90 * J$38)</f>
        <v>1</v>
      </c>
      <c r="K113" s="126">
        <f t="shared" si="24"/>
        <v>1</v>
      </c>
      <c r="L113" s="126">
        <f t="shared" si="24"/>
        <v>1</v>
      </c>
      <c r="M113" s="126">
        <f t="shared" si="24"/>
        <v>1</v>
      </c>
      <c r="N113" s="126">
        <f t="shared" si="24"/>
        <v>1</v>
      </c>
      <c r="O113" s="126">
        <f t="shared" si="24"/>
        <v>1</v>
      </c>
      <c r="P113" s="126">
        <f t="shared" si="24"/>
        <v>0</v>
      </c>
      <c r="Q113" s="126">
        <f t="shared" si="24"/>
        <v>1</v>
      </c>
      <c r="R113" s="126">
        <f t="shared" si="24"/>
        <v>1</v>
      </c>
      <c r="S113" s="126">
        <f t="shared" si="24"/>
        <v>1</v>
      </c>
      <c r="T113" s="83"/>
      <c r="U113" s="83"/>
    </row>
    <row r="114" spans="6:21" x14ac:dyDescent="0.25">
      <c r="F114" t="s">
        <v>895</v>
      </c>
      <c r="G114" s="72" t="s">
        <v>175</v>
      </c>
      <c r="J114" s="98">
        <f t="shared" ref="J114:S114" si="25">IF(J$38 = "", J91, J91 * J$38)</f>
        <v>1</v>
      </c>
      <c r="K114" s="98">
        <f t="shared" si="25"/>
        <v>1</v>
      </c>
      <c r="L114" s="98">
        <f t="shared" si="25"/>
        <v>1</v>
      </c>
      <c r="M114" s="98">
        <f t="shared" si="25"/>
        <v>1</v>
      </c>
      <c r="N114" s="98">
        <f t="shared" si="25"/>
        <v>1</v>
      </c>
      <c r="O114" s="98">
        <f t="shared" si="25"/>
        <v>1</v>
      </c>
      <c r="P114" s="98">
        <f t="shared" si="25"/>
        <v>0</v>
      </c>
      <c r="Q114" s="98">
        <f t="shared" si="25"/>
        <v>1</v>
      </c>
      <c r="R114" s="98">
        <f t="shared" si="25"/>
        <v>1</v>
      </c>
      <c r="S114" s="98">
        <f t="shared" si="25"/>
        <v>1</v>
      </c>
      <c r="T114" s="79"/>
      <c r="U114" s="79"/>
    </row>
    <row r="115" spans="6:21" x14ac:dyDescent="0.25">
      <c r="F115" t="s">
        <v>894</v>
      </c>
      <c r="G115" s="72" t="s">
        <v>175</v>
      </c>
      <c r="J115" s="98">
        <f t="shared" ref="J115:S115" si="26">IF(J$38 = "", J92, J92 * J$38)</f>
        <v>1</v>
      </c>
      <c r="K115" s="98">
        <f t="shared" si="26"/>
        <v>1</v>
      </c>
      <c r="L115" s="98">
        <f t="shared" si="26"/>
        <v>1</v>
      </c>
      <c r="M115" s="98">
        <f t="shared" si="26"/>
        <v>1</v>
      </c>
      <c r="N115" s="98">
        <f t="shared" si="26"/>
        <v>1</v>
      </c>
      <c r="O115" s="98">
        <f t="shared" si="26"/>
        <v>1</v>
      </c>
      <c r="P115" s="98">
        <f t="shared" si="26"/>
        <v>0</v>
      </c>
      <c r="Q115" s="98">
        <f t="shared" si="26"/>
        <v>1</v>
      </c>
      <c r="R115" s="98">
        <f t="shared" si="26"/>
        <v>1</v>
      </c>
      <c r="S115" s="98">
        <f t="shared" si="26"/>
        <v>1</v>
      </c>
      <c r="T115" s="79"/>
      <c r="U115" s="79"/>
    </row>
    <row r="116" spans="6:21" x14ac:dyDescent="0.25">
      <c r="F116" t="s">
        <v>896</v>
      </c>
      <c r="G116" s="72" t="s">
        <v>175</v>
      </c>
      <c r="J116" s="98">
        <f t="shared" ref="J116:S116" si="27">IF(J$38 = "", J93, J93 * J$38)</f>
        <v>1</v>
      </c>
      <c r="K116" s="98">
        <f t="shared" si="27"/>
        <v>1</v>
      </c>
      <c r="L116" s="98">
        <f t="shared" si="27"/>
        <v>1</v>
      </c>
      <c r="M116" s="98">
        <f t="shared" si="27"/>
        <v>1</v>
      </c>
      <c r="N116" s="98">
        <f t="shared" si="27"/>
        <v>1</v>
      </c>
      <c r="O116" s="98">
        <f t="shared" si="27"/>
        <v>1</v>
      </c>
      <c r="P116" s="98">
        <f t="shared" si="27"/>
        <v>0</v>
      </c>
      <c r="Q116" s="98">
        <f t="shared" si="27"/>
        <v>1</v>
      </c>
      <c r="R116" s="98">
        <f t="shared" si="27"/>
        <v>1</v>
      </c>
      <c r="S116" s="98">
        <f t="shared" si="27"/>
        <v>1</v>
      </c>
      <c r="T116" s="79"/>
      <c r="U116" s="79"/>
    </row>
    <row r="117" spans="6:21" x14ac:dyDescent="0.25">
      <c r="F117" t="s">
        <v>902</v>
      </c>
      <c r="G117" s="72" t="s">
        <v>175</v>
      </c>
      <c r="J117" s="98">
        <f t="shared" ref="J117:S117" si="28">IF(J$38 = "", J94, J94 * J$38)</f>
        <v>1</v>
      </c>
      <c r="K117" s="98">
        <f t="shared" si="28"/>
        <v>1</v>
      </c>
      <c r="L117" s="98">
        <f t="shared" si="28"/>
        <v>1</v>
      </c>
      <c r="M117" s="98">
        <f t="shared" si="28"/>
        <v>1</v>
      </c>
      <c r="N117" s="98">
        <f t="shared" si="28"/>
        <v>1</v>
      </c>
      <c r="O117" s="98">
        <f t="shared" si="28"/>
        <v>1</v>
      </c>
      <c r="P117" s="98">
        <f t="shared" si="28"/>
        <v>0</v>
      </c>
      <c r="Q117" s="98">
        <f t="shared" si="28"/>
        <v>1</v>
      </c>
      <c r="R117" s="98">
        <f t="shared" si="28"/>
        <v>1</v>
      </c>
      <c r="S117" s="98">
        <f t="shared" si="28"/>
        <v>1</v>
      </c>
      <c r="T117" s="79"/>
      <c r="U117" s="79"/>
    </row>
    <row r="118" spans="6:21" x14ac:dyDescent="0.25">
      <c r="F118" t="s">
        <v>903</v>
      </c>
      <c r="G118" s="72" t="s">
        <v>175</v>
      </c>
      <c r="J118" s="98">
        <f t="shared" ref="J118:S118" si="29">IF(J$38 = "", J95, J95 * J$38)</f>
        <v>1</v>
      </c>
      <c r="K118" s="98">
        <f t="shared" si="29"/>
        <v>1</v>
      </c>
      <c r="L118" s="98">
        <f t="shared" si="29"/>
        <v>1</v>
      </c>
      <c r="M118" s="98">
        <f t="shared" si="29"/>
        <v>1</v>
      </c>
      <c r="N118" s="98">
        <f t="shared" si="29"/>
        <v>1</v>
      </c>
      <c r="O118" s="98">
        <f t="shared" si="29"/>
        <v>1</v>
      </c>
      <c r="P118" s="98">
        <f t="shared" si="29"/>
        <v>0</v>
      </c>
      <c r="Q118" s="98">
        <f t="shared" si="29"/>
        <v>1</v>
      </c>
      <c r="R118" s="98">
        <f t="shared" si="29"/>
        <v>1</v>
      </c>
      <c r="S118" s="98">
        <f t="shared" si="29"/>
        <v>0</v>
      </c>
      <c r="T118" s="79"/>
      <c r="U118" s="79"/>
    </row>
    <row r="119" spans="6:21" x14ac:dyDescent="0.25">
      <c r="F119" t="s">
        <v>904</v>
      </c>
      <c r="G119" s="72" t="s">
        <v>175</v>
      </c>
      <c r="J119" s="98">
        <f t="shared" ref="J119:S119" si="30">IF(J$38 = "", J96, J96 * J$38)</f>
        <v>1</v>
      </c>
      <c r="K119" s="98">
        <f t="shared" si="30"/>
        <v>1</v>
      </c>
      <c r="L119" s="98">
        <f t="shared" si="30"/>
        <v>1</v>
      </c>
      <c r="M119" s="98">
        <f t="shared" si="30"/>
        <v>1</v>
      </c>
      <c r="N119" s="98">
        <f t="shared" si="30"/>
        <v>1</v>
      </c>
      <c r="O119" s="98">
        <f t="shared" si="30"/>
        <v>1</v>
      </c>
      <c r="P119" s="98">
        <f t="shared" si="30"/>
        <v>0</v>
      </c>
      <c r="Q119" s="98">
        <f t="shared" si="30"/>
        <v>1</v>
      </c>
      <c r="R119" s="98">
        <f t="shared" si="30"/>
        <v>0</v>
      </c>
      <c r="S119" s="98">
        <f t="shared" si="30"/>
        <v>0</v>
      </c>
      <c r="T119" s="79"/>
      <c r="U119" s="79"/>
    </row>
    <row r="120" spans="6:21" x14ac:dyDescent="0.25">
      <c r="F120" t="s">
        <v>1027</v>
      </c>
      <c r="G120" s="72" t="s">
        <v>175</v>
      </c>
      <c r="J120" s="98">
        <f t="shared" ref="J120:S120" si="31">IF(J$38 = "", J97, J97 * J$38)</f>
        <v>1</v>
      </c>
      <c r="K120" s="98">
        <f t="shared" si="31"/>
        <v>1</v>
      </c>
      <c r="L120" s="98">
        <f t="shared" si="31"/>
        <v>1</v>
      </c>
      <c r="M120" s="98">
        <f t="shared" si="31"/>
        <v>1</v>
      </c>
      <c r="N120" s="98">
        <f t="shared" si="31"/>
        <v>1</v>
      </c>
      <c r="O120" s="98">
        <f t="shared" si="31"/>
        <v>1</v>
      </c>
      <c r="P120" s="98">
        <f t="shared" si="31"/>
        <v>0</v>
      </c>
      <c r="Q120" s="98">
        <f t="shared" si="31"/>
        <v>1</v>
      </c>
      <c r="R120" s="98">
        <f t="shared" si="31"/>
        <v>1</v>
      </c>
      <c r="S120" s="98">
        <f t="shared" si="31"/>
        <v>1</v>
      </c>
      <c r="T120" s="79"/>
      <c r="U120" s="79"/>
    </row>
    <row r="121" spans="6:21" x14ac:dyDescent="0.25">
      <c r="F121" t="s">
        <v>1028</v>
      </c>
      <c r="G121" s="72" t="s">
        <v>175</v>
      </c>
      <c r="J121" s="98">
        <f t="shared" ref="J121:S121" si="32">IF(J$38 = "", J98, J98 * J$38)</f>
        <v>1</v>
      </c>
      <c r="K121" s="98">
        <f t="shared" si="32"/>
        <v>1</v>
      </c>
      <c r="L121" s="98">
        <f t="shared" si="32"/>
        <v>1</v>
      </c>
      <c r="M121" s="98">
        <f t="shared" si="32"/>
        <v>1</v>
      </c>
      <c r="N121" s="98">
        <f t="shared" si="32"/>
        <v>1</v>
      </c>
      <c r="O121" s="98">
        <f t="shared" si="32"/>
        <v>1</v>
      </c>
      <c r="P121" s="98">
        <f t="shared" si="32"/>
        <v>0</v>
      </c>
      <c r="Q121" s="98">
        <f t="shared" si="32"/>
        <v>1</v>
      </c>
      <c r="R121" s="98">
        <f t="shared" si="32"/>
        <v>1</v>
      </c>
      <c r="S121" s="98">
        <f t="shared" si="32"/>
        <v>0</v>
      </c>
      <c r="T121" s="79"/>
      <c r="U121" s="79"/>
    </row>
    <row r="122" spans="6:21" x14ac:dyDescent="0.25">
      <c r="F122" t="s">
        <v>1029</v>
      </c>
      <c r="G122" s="72" t="s">
        <v>175</v>
      </c>
      <c r="J122" s="98">
        <f t="shared" ref="J122:S122" si="33">IF(J$38 = "", J99, J99 * J$38)</f>
        <v>1</v>
      </c>
      <c r="K122" s="98">
        <f t="shared" si="33"/>
        <v>1</v>
      </c>
      <c r="L122" s="98">
        <f t="shared" si="33"/>
        <v>1</v>
      </c>
      <c r="M122" s="98">
        <f t="shared" si="33"/>
        <v>1</v>
      </c>
      <c r="N122" s="98">
        <f t="shared" si="33"/>
        <v>1</v>
      </c>
      <c r="O122" s="98">
        <f t="shared" si="33"/>
        <v>1</v>
      </c>
      <c r="P122" s="98">
        <f t="shared" si="33"/>
        <v>0</v>
      </c>
      <c r="Q122" s="98">
        <f t="shared" si="33"/>
        <v>1</v>
      </c>
      <c r="R122" s="98">
        <f t="shared" si="33"/>
        <v>0</v>
      </c>
      <c r="S122" s="98">
        <f t="shared" si="33"/>
        <v>0</v>
      </c>
      <c r="T122" s="79"/>
      <c r="U122" s="79"/>
    </row>
    <row r="123" spans="6:21" x14ac:dyDescent="0.25">
      <c r="F123" t="s">
        <v>905</v>
      </c>
      <c r="G123" s="72" t="s">
        <v>175</v>
      </c>
      <c r="J123" s="98">
        <f t="shared" ref="J123:S123" si="34">IF(J$38 = "", J100, J100 * J$38)</f>
        <v>1</v>
      </c>
      <c r="K123" s="98">
        <f t="shared" si="34"/>
        <v>1</v>
      </c>
      <c r="L123" s="98">
        <f t="shared" si="34"/>
        <v>1</v>
      </c>
      <c r="M123" s="98">
        <f t="shared" si="34"/>
        <v>1</v>
      </c>
      <c r="N123" s="98">
        <f t="shared" si="34"/>
        <v>1</v>
      </c>
      <c r="O123" s="98">
        <f t="shared" si="34"/>
        <v>1</v>
      </c>
      <c r="P123" s="98">
        <f t="shared" si="34"/>
        <v>0</v>
      </c>
      <c r="Q123" s="98">
        <f t="shared" si="34"/>
        <v>1</v>
      </c>
      <c r="R123" s="98">
        <f t="shared" si="34"/>
        <v>1</v>
      </c>
      <c r="S123" s="98">
        <f t="shared" si="34"/>
        <v>1</v>
      </c>
      <c r="T123" s="79"/>
      <c r="U123" s="79"/>
    </row>
    <row r="124" spans="6:21" x14ac:dyDescent="0.25">
      <c r="F124" t="s">
        <v>897</v>
      </c>
      <c r="G124" s="72" t="s">
        <v>175</v>
      </c>
      <c r="J124" s="98">
        <f t="shared" ref="J124:S124" si="35">IF(J$38 = "", J101, J101 * J$38)</f>
        <v>-1</v>
      </c>
      <c r="K124" s="98">
        <f t="shared" si="35"/>
        <v>-1</v>
      </c>
      <c r="L124" s="98">
        <f t="shared" si="35"/>
        <v>-1</v>
      </c>
      <c r="M124" s="98">
        <f t="shared" si="35"/>
        <v>-1</v>
      </c>
      <c r="N124" s="98">
        <f t="shared" si="35"/>
        <v>-1</v>
      </c>
      <c r="O124" s="98">
        <f t="shared" si="35"/>
        <v>-1</v>
      </c>
      <c r="P124" s="98">
        <f t="shared" si="35"/>
        <v>0</v>
      </c>
      <c r="Q124" s="98">
        <f t="shared" si="35"/>
        <v>-1</v>
      </c>
      <c r="R124" s="98">
        <f t="shared" si="35"/>
        <v>-1</v>
      </c>
      <c r="S124" s="98">
        <f t="shared" si="35"/>
        <v>0</v>
      </c>
      <c r="T124" s="79"/>
      <c r="U124" s="79"/>
    </row>
    <row r="125" spans="6:21" x14ac:dyDescent="0.25">
      <c r="F125" t="s">
        <v>898</v>
      </c>
      <c r="G125" s="72" t="s">
        <v>175</v>
      </c>
      <c r="J125" s="98">
        <f t="shared" ref="J125:S125" si="36">IF(J$38 = "", J102, J102 * J$38)</f>
        <v>-1</v>
      </c>
      <c r="K125" s="98">
        <f t="shared" si="36"/>
        <v>-1</v>
      </c>
      <c r="L125" s="98">
        <f t="shared" si="36"/>
        <v>-1</v>
      </c>
      <c r="M125" s="98">
        <f t="shared" si="36"/>
        <v>-1</v>
      </c>
      <c r="N125" s="98">
        <f t="shared" si="36"/>
        <v>-1</v>
      </c>
      <c r="O125" s="98">
        <f t="shared" si="36"/>
        <v>-1</v>
      </c>
      <c r="P125" s="98">
        <f t="shared" si="36"/>
        <v>0</v>
      </c>
      <c r="Q125" s="98">
        <f t="shared" si="36"/>
        <v>-1</v>
      </c>
      <c r="R125" s="98">
        <f t="shared" si="36"/>
        <v>0</v>
      </c>
      <c r="S125" s="98">
        <f t="shared" si="36"/>
        <v>0</v>
      </c>
      <c r="T125" s="79"/>
      <c r="U125" s="79"/>
    </row>
    <row r="126" spans="6:21" x14ac:dyDescent="0.25">
      <c r="F126" t="s">
        <v>899</v>
      </c>
      <c r="G126" s="72" t="s">
        <v>175</v>
      </c>
      <c r="J126" s="98">
        <f t="shared" ref="J126:S126" si="37">IF(J$38 = "", J103, J103 * J$38)</f>
        <v>-1</v>
      </c>
      <c r="K126" s="98">
        <f t="shared" si="37"/>
        <v>-1</v>
      </c>
      <c r="L126" s="98">
        <f t="shared" si="37"/>
        <v>-1</v>
      </c>
      <c r="M126" s="98">
        <f t="shared" si="37"/>
        <v>-1</v>
      </c>
      <c r="N126" s="98">
        <f t="shared" si="37"/>
        <v>-1</v>
      </c>
      <c r="O126" s="98">
        <f t="shared" si="37"/>
        <v>-1</v>
      </c>
      <c r="P126" s="98">
        <f t="shared" si="37"/>
        <v>0</v>
      </c>
      <c r="Q126" s="98">
        <f t="shared" si="37"/>
        <v>-1</v>
      </c>
      <c r="R126" s="98">
        <f t="shared" si="37"/>
        <v>-1</v>
      </c>
      <c r="S126" s="98">
        <f t="shared" si="37"/>
        <v>0</v>
      </c>
      <c r="T126" s="79"/>
      <c r="U126" s="79"/>
    </row>
    <row r="127" spans="6:21" x14ac:dyDescent="0.25">
      <c r="F127" t="s">
        <v>908</v>
      </c>
      <c r="G127" s="72" t="s">
        <v>175</v>
      </c>
      <c r="J127" s="98">
        <f t="shared" ref="J127:S127" si="38">IF(J$38 = "", J104, J104 * J$38)</f>
        <v>-1</v>
      </c>
      <c r="K127" s="98">
        <f t="shared" si="38"/>
        <v>-1</v>
      </c>
      <c r="L127" s="98">
        <f t="shared" si="38"/>
        <v>-1</v>
      </c>
      <c r="M127" s="98">
        <f t="shared" si="38"/>
        <v>-1</v>
      </c>
      <c r="N127" s="98">
        <f t="shared" si="38"/>
        <v>-1</v>
      </c>
      <c r="O127" s="98">
        <f t="shared" si="38"/>
        <v>-1</v>
      </c>
      <c r="P127" s="98">
        <f t="shared" si="38"/>
        <v>0</v>
      </c>
      <c r="Q127" s="98">
        <f t="shared" si="38"/>
        <v>-1</v>
      </c>
      <c r="R127" s="98">
        <f t="shared" si="38"/>
        <v>-1</v>
      </c>
      <c r="S127" s="98">
        <f t="shared" si="38"/>
        <v>0</v>
      </c>
      <c r="T127" s="79"/>
      <c r="U127" s="79"/>
    </row>
    <row r="128" spans="6:21" x14ac:dyDescent="0.25">
      <c r="F128" t="s">
        <v>900</v>
      </c>
      <c r="G128" s="72" t="s">
        <v>175</v>
      </c>
      <c r="J128" s="98">
        <f t="shared" ref="J128:S128" si="39">IF(J$38 = "", J105, J105 * J$38)</f>
        <v>-1</v>
      </c>
      <c r="K128" s="98">
        <f t="shared" si="39"/>
        <v>-1</v>
      </c>
      <c r="L128" s="98">
        <f t="shared" si="39"/>
        <v>-1</v>
      </c>
      <c r="M128" s="98">
        <f t="shared" si="39"/>
        <v>-1</v>
      </c>
      <c r="N128" s="98">
        <f t="shared" si="39"/>
        <v>-1</v>
      </c>
      <c r="O128" s="98">
        <f t="shared" si="39"/>
        <v>-1</v>
      </c>
      <c r="P128" s="98">
        <f t="shared" si="39"/>
        <v>0</v>
      </c>
      <c r="Q128" s="98">
        <f t="shared" si="39"/>
        <v>-1</v>
      </c>
      <c r="R128" s="98">
        <f t="shared" si="39"/>
        <v>0</v>
      </c>
      <c r="S128" s="98">
        <f t="shared" si="39"/>
        <v>0</v>
      </c>
      <c r="T128" s="79"/>
      <c r="U128" s="79"/>
    </row>
    <row r="129" spans="3:23" x14ac:dyDescent="0.25">
      <c r="F129" t="s">
        <v>907</v>
      </c>
      <c r="G129" s="72" t="s">
        <v>175</v>
      </c>
      <c r="J129" s="98">
        <f t="shared" ref="J129:S129" si="40">IF(J$38 = "", J106, J106 * J$38)</f>
        <v>-1</v>
      </c>
      <c r="K129" s="98">
        <f t="shared" si="40"/>
        <v>-1</v>
      </c>
      <c r="L129" s="98">
        <f t="shared" si="40"/>
        <v>-1</v>
      </c>
      <c r="M129" s="98">
        <f t="shared" si="40"/>
        <v>-1</v>
      </c>
      <c r="N129" s="98">
        <f t="shared" si="40"/>
        <v>-1</v>
      </c>
      <c r="O129" s="98">
        <f t="shared" si="40"/>
        <v>-1</v>
      </c>
      <c r="P129" s="98">
        <f t="shared" si="40"/>
        <v>0</v>
      </c>
      <c r="Q129" s="98">
        <f t="shared" si="40"/>
        <v>-1</v>
      </c>
      <c r="R129" s="98">
        <f t="shared" si="40"/>
        <v>0</v>
      </c>
      <c r="S129" s="98">
        <f t="shared" si="40"/>
        <v>0</v>
      </c>
      <c r="T129" s="79"/>
      <c r="U129" s="79"/>
    </row>
    <row r="130" spans="3:23" x14ac:dyDescent="0.25">
      <c r="F130" t="s">
        <v>901</v>
      </c>
      <c r="G130" s="72" t="s">
        <v>175</v>
      </c>
      <c r="J130" s="98">
        <f t="shared" ref="J130:S130" si="41">IF(J$38 = "", J107, J107 * J$38)</f>
        <v>-1</v>
      </c>
      <c r="K130" s="98">
        <f t="shared" si="41"/>
        <v>-1</v>
      </c>
      <c r="L130" s="98">
        <f t="shared" si="41"/>
        <v>-1</v>
      </c>
      <c r="M130" s="98">
        <f t="shared" si="41"/>
        <v>-1</v>
      </c>
      <c r="N130" s="98">
        <f t="shared" si="41"/>
        <v>-1</v>
      </c>
      <c r="O130" s="98">
        <f t="shared" si="41"/>
        <v>-1</v>
      </c>
      <c r="P130" s="98">
        <f t="shared" si="41"/>
        <v>0</v>
      </c>
      <c r="Q130" s="98">
        <f t="shared" si="41"/>
        <v>0</v>
      </c>
      <c r="R130" s="98">
        <f t="shared" si="41"/>
        <v>0</v>
      </c>
      <c r="S130" s="98">
        <f t="shared" si="41"/>
        <v>0</v>
      </c>
      <c r="T130" s="79"/>
      <c r="U130" s="79"/>
    </row>
    <row r="131" spans="3:23" x14ac:dyDescent="0.25">
      <c r="F131" s="37" t="s">
        <v>906</v>
      </c>
      <c r="G131" s="80" t="s">
        <v>175</v>
      </c>
      <c r="H131" s="37"/>
      <c r="I131" s="37"/>
      <c r="J131" s="100">
        <f t="shared" ref="J131:S131" si="42">IF(J$38 = "", J108, J108 * J$38)</f>
        <v>-1</v>
      </c>
      <c r="K131" s="100">
        <f t="shared" si="42"/>
        <v>-1</v>
      </c>
      <c r="L131" s="100">
        <f t="shared" si="42"/>
        <v>-1</v>
      </c>
      <c r="M131" s="100">
        <f t="shared" si="42"/>
        <v>-1</v>
      </c>
      <c r="N131" s="100">
        <f t="shared" si="42"/>
        <v>-1</v>
      </c>
      <c r="O131" s="100">
        <f t="shared" si="42"/>
        <v>-1</v>
      </c>
      <c r="P131" s="100">
        <f t="shared" si="42"/>
        <v>0</v>
      </c>
      <c r="Q131" s="100">
        <f t="shared" si="42"/>
        <v>0</v>
      </c>
      <c r="R131" s="100">
        <f t="shared" si="42"/>
        <v>0</v>
      </c>
      <c r="S131" s="100">
        <f t="shared" si="42"/>
        <v>0</v>
      </c>
      <c r="T131" s="81"/>
      <c r="U131" s="81"/>
    </row>
    <row r="132" spans="3:23" x14ac:dyDescent="0.25">
      <c r="G132" s="13"/>
      <c r="J132" s="89"/>
      <c r="K132" s="89"/>
      <c r="L132" s="89"/>
      <c r="M132" s="89"/>
      <c r="N132" s="89"/>
      <c r="O132" s="89"/>
      <c r="P132" s="89"/>
      <c r="Q132" s="89"/>
      <c r="R132" s="89"/>
      <c r="S132" s="89"/>
      <c r="T132" s="89"/>
      <c r="U132" s="89"/>
    </row>
    <row r="133" spans="3:23" x14ac:dyDescent="0.25">
      <c r="C133" s="31" t="str">
        <f ca="1">INDEX('Version control'!$H$34:$H$57,MATCH($A$1,'Version control'!$F$34:$F$57,0),1)&amp;"-E: User loss factors"</f>
        <v>Section 102-E: User loss factors</v>
      </c>
      <c r="D133" s="31"/>
      <c r="E133" s="31"/>
      <c r="F133" s="31"/>
      <c r="G133" s="31"/>
      <c r="H133" s="31"/>
      <c r="I133" s="31"/>
      <c r="J133" s="90"/>
      <c r="K133" s="90"/>
      <c r="L133" s="90"/>
      <c r="M133" s="90"/>
      <c r="N133" s="90"/>
      <c r="O133" s="90"/>
      <c r="P133" s="90"/>
      <c r="Q133" s="90"/>
      <c r="R133" s="90"/>
      <c r="S133" s="90"/>
      <c r="T133" s="90"/>
      <c r="U133" s="90"/>
      <c r="V133" s="31"/>
      <c r="W133" s="31"/>
    </row>
    <row r="134" spans="3:23" x14ac:dyDescent="0.25">
      <c r="H134" s="3"/>
      <c r="I134" s="3"/>
      <c r="J134" s="127"/>
      <c r="K134" s="127"/>
      <c r="L134" s="127"/>
      <c r="M134" s="127"/>
      <c r="N134" s="127"/>
      <c r="O134" s="127"/>
      <c r="P134" s="127"/>
      <c r="Q134" s="127"/>
      <c r="R134" s="127"/>
      <c r="S134" s="127"/>
      <c r="T134" s="127"/>
      <c r="U134" s="127"/>
      <c r="W134" s="3"/>
    </row>
    <row r="135" spans="3:23" x14ac:dyDescent="0.25">
      <c r="E135" s="32" t="s">
        <v>403</v>
      </c>
      <c r="G135" s="13"/>
      <c r="J135" s="89"/>
      <c r="K135" s="89"/>
      <c r="L135" s="89"/>
      <c r="M135" s="89"/>
      <c r="N135" s="89"/>
      <c r="O135" s="89"/>
      <c r="P135" s="89"/>
      <c r="Q135" s="89"/>
      <c r="R135" s="89"/>
      <c r="S135" s="89"/>
      <c r="T135" s="89"/>
      <c r="U135" s="89"/>
      <c r="W135" s="3"/>
    </row>
    <row r="136" spans="3:23" x14ac:dyDescent="0.25">
      <c r="E136" s="29" t="s">
        <v>404</v>
      </c>
      <c r="G136" s="13"/>
      <c r="J136" s="89"/>
      <c r="K136" s="89"/>
      <c r="L136" s="89"/>
      <c r="M136" s="89"/>
      <c r="N136" s="89"/>
      <c r="O136" s="89"/>
      <c r="P136" s="89"/>
      <c r="Q136" s="89"/>
      <c r="R136" s="89"/>
      <c r="S136" s="89"/>
      <c r="T136" s="89"/>
      <c r="U136" s="89"/>
    </row>
    <row r="137" spans="3:23" x14ac:dyDescent="0.25">
      <c r="E137" s="29" t="s">
        <v>405</v>
      </c>
      <c r="G137" s="13"/>
      <c r="H137" s="128" t="s">
        <v>406</v>
      </c>
      <c r="J137" s="89"/>
      <c r="K137" s="89"/>
      <c r="L137" s="89"/>
      <c r="M137" s="89"/>
      <c r="N137" s="89"/>
      <c r="O137" s="89"/>
      <c r="P137" s="89"/>
      <c r="Q137" s="89"/>
      <c r="R137" s="89"/>
      <c r="S137" s="89"/>
      <c r="T137" s="89"/>
      <c r="U137" s="89"/>
    </row>
    <row r="138" spans="3:23" x14ac:dyDescent="0.25">
      <c r="F138" s="23" t="s">
        <v>893</v>
      </c>
      <c r="G138" s="78" t="s">
        <v>282</v>
      </c>
      <c r="H138" s="126">
        <f t="shared" ref="H138:H156" si="43">MAX(J138:S138)</f>
        <v>1.0980000000000001</v>
      </c>
      <c r="I138" s="23"/>
      <c r="J138" s="126">
        <f>OR(SUM(J68:$S68) = 1, SUM(J68:$S68) = -1) * J$29</f>
        <v>0</v>
      </c>
      <c r="K138" s="126">
        <f>OR(SUM(K68:$S68) = 1, SUM(K68:$S68) = -1) * K$29</f>
        <v>0</v>
      </c>
      <c r="L138" s="126">
        <f>OR(SUM(L68:$S68) = 1, SUM(L68:$S68) = -1) * L$29</f>
        <v>0</v>
      </c>
      <c r="M138" s="126">
        <f>OR(SUM(M68:$S68) = 1, SUM(M68:$S68) = -1) * M$29</f>
        <v>0</v>
      </c>
      <c r="N138" s="126">
        <f>OR(SUM(N68:$S68) = 1, SUM(N68:$S68) = -1) * N$29</f>
        <v>0</v>
      </c>
      <c r="O138" s="126">
        <f>OR(SUM(O68:$S68) = 1, SUM(O68:$S68) = -1) * O$29</f>
        <v>0</v>
      </c>
      <c r="P138" s="126">
        <f>OR(SUM(P68:$S68) = 1, SUM(P68:$S68) = -1) * P$29</f>
        <v>0</v>
      </c>
      <c r="Q138" s="126">
        <f>OR(SUM(Q68:$S68) = 1, SUM(Q68:$S68) = -1) * Q$29</f>
        <v>0</v>
      </c>
      <c r="R138" s="126">
        <f>OR(SUM(R68:$S68) = 1, SUM(R68:$S68) = -1) * R$29</f>
        <v>0</v>
      </c>
      <c r="S138" s="126">
        <f>OR(SUM(S68:$S68) = 1, SUM(S68:$S68) = -1) * S$29</f>
        <v>1.0980000000000001</v>
      </c>
      <c r="T138" s="83"/>
      <c r="U138" s="83"/>
      <c r="W138" s="3"/>
    </row>
    <row r="139" spans="3:23" x14ac:dyDescent="0.25">
      <c r="F139" t="s">
        <v>895</v>
      </c>
      <c r="G139" s="72" t="s">
        <v>282</v>
      </c>
      <c r="H139" s="98">
        <f t="shared" si="43"/>
        <v>1.0980000000000001</v>
      </c>
      <c r="J139" s="98">
        <f>OR(SUM(J69:$S69) = 1, SUM(J69:$S69) = -1) * J$29</f>
        <v>0</v>
      </c>
      <c r="K139" s="98">
        <f>OR(SUM(K69:$S69) = 1, SUM(K69:$S69) = -1) * K$29</f>
        <v>0</v>
      </c>
      <c r="L139" s="98">
        <f>OR(SUM(L69:$S69) = 1, SUM(L69:$S69) = -1) * L$29</f>
        <v>0</v>
      </c>
      <c r="M139" s="98">
        <f>OR(SUM(M69:$S69) = 1, SUM(M69:$S69) = -1) * M$29</f>
        <v>0</v>
      </c>
      <c r="N139" s="98">
        <f>OR(SUM(N69:$S69) = 1, SUM(N69:$S69) = -1) * N$29</f>
        <v>0</v>
      </c>
      <c r="O139" s="98">
        <f>OR(SUM(O69:$S69) = 1, SUM(O69:$S69) = -1) * O$29</f>
        <v>0</v>
      </c>
      <c r="P139" s="98">
        <f>OR(SUM(P69:$S69) = 1, SUM(P69:$S69) = -1) * P$29</f>
        <v>0</v>
      </c>
      <c r="Q139" s="98">
        <f>OR(SUM(Q69:$S69) = 1, SUM(Q69:$S69) = -1) * Q$29</f>
        <v>0</v>
      </c>
      <c r="R139" s="98">
        <f>OR(SUM(R69:$S69) = 1, SUM(R69:$S69) = -1) * R$29</f>
        <v>0</v>
      </c>
      <c r="S139" s="98">
        <f>OR(SUM(S69:$S69) = 1, SUM(S69:$S69) = -1) * S$29</f>
        <v>1.0980000000000001</v>
      </c>
      <c r="T139" s="79"/>
      <c r="U139" s="79"/>
      <c r="W139" s="3"/>
    </row>
    <row r="140" spans="3:23" x14ac:dyDescent="0.25">
      <c r="F140" t="s">
        <v>894</v>
      </c>
      <c r="G140" s="72" t="s">
        <v>282</v>
      </c>
      <c r="H140" s="98">
        <f t="shared" si="43"/>
        <v>1.0980000000000001</v>
      </c>
      <c r="J140" s="98">
        <f>OR(SUM(J70:$S70) = 1, SUM(J70:$S70) = -1) * J$29</f>
        <v>0</v>
      </c>
      <c r="K140" s="98">
        <f>OR(SUM(K70:$S70) = 1, SUM(K70:$S70) = -1) * K$29</f>
        <v>0</v>
      </c>
      <c r="L140" s="98">
        <f>OR(SUM(L70:$S70) = 1, SUM(L70:$S70) = -1) * L$29</f>
        <v>0</v>
      </c>
      <c r="M140" s="98">
        <f>OR(SUM(M70:$S70) = 1, SUM(M70:$S70) = -1) * M$29</f>
        <v>0</v>
      </c>
      <c r="N140" s="98">
        <f>OR(SUM(N70:$S70) = 1, SUM(N70:$S70) = -1) * N$29</f>
        <v>0</v>
      </c>
      <c r="O140" s="98">
        <f>OR(SUM(O70:$S70) = 1, SUM(O70:$S70) = -1) * O$29</f>
        <v>0</v>
      </c>
      <c r="P140" s="98">
        <f>OR(SUM(P70:$S70) = 1, SUM(P70:$S70) = -1) * P$29</f>
        <v>0</v>
      </c>
      <c r="Q140" s="98">
        <f>OR(SUM(Q70:$S70) = 1, SUM(Q70:$S70) = -1) * Q$29</f>
        <v>0</v>
      </c>
      <c r="R140" s="98">
        <f>OR(SUM(R70:$S70) = 1, SUM(R70:$S70) = -1) * R$29</f>
        <v>0</v>
      </c>
      <c r="S140" s="98">
        <f>OR(SUM(S70:$S70) = 1, SUM(S70:$S70) = -1) * S$29</f>
        <v>1.0980000000000001</v>
      </c>
      <c r="T140" s="79"/>
      <c r="U140" s="79"/>
      <c r="W140" s="3"/>
    </row>
    <row r="141" spans="3:23" x14ac:dyDescent="0.25">
      <c r="F141" t="s">
        <v>896</v>
      </c>
      <c r="G141" s="72" t="s">
        <v>282</v>
      </c>
      <c r="H141" s="98">
        <f t="shared" si="43"/>
        <v>1.0980000000000001</v>
      </c>
      <c r="J141" s="98">
        <f>OR(SUM(J71:$S71) = 1, SUM(J71:$S71) = -1) * J$29</f>
        <v>0</v>
      </c>
      <c r="K141" s="98">
        <f>OR(SUM(K71:$S71) = 1, SUM(K71:$S71) = -1) * K$29</f>
        <v>0</v>
      </c>
      <c r="L141" s="98">
        <f>OR(SUM(L71:$S71) = 1, SUM(L71:$S71) = -1) * L$29</f>
        <v>0</v>
      </c>
      <c r="M141" s="98">
        <f>OR(SUM(M71:$S71) = 1, SUM(M71:$S71) = -1) * M$29</f>
        <v>0</v>
      </c>
      <c r="N141" s="98">
        <f>OR(SUM(N71:$S71) = 1, SUM(N71:$S71) = -1) * N$29</f>
        <v>0</v>
      </c>
      <c r="O141" s="98">
        <f>OR(SUM(O71:$S71) = 1, SUM(O71:$S71) = -1) * O$29</f>
        <v>0</v>
      </c>
      <c r="P141" s="98">
        <f>OR(SUM(P71:$S71) = 1, SUM(P71:$S71) = -1) * P$29</f>
        <v>0</v>
      </c>
      <c r="Q141" s="98">
        <f>OR(SUM(Q71:$S71) = 1, SUM(Q71:$S71) = -1) * Q$29</f>
        <v>0</v>
      </c>
      <c r="R141" s="98">
        <f>OR(SUM(R71:$S71) = 1, SUM(R71:$S71) = -1) * R$29</f>
        <v>0</v>
      </c>
      <c r="S141" s="98">
        <f>OR(SUM(S71:$S71) = 1, SUM(S71:$S71) = -1) * S$29</f>
        <v>1.0980000000000001</v>
      </c>
      <c r="T141" s="79"/>
      <c r="U141" s="79"/>
    </row>
    <row r="142" spans="3:23" x14ac:dyDescent="0.25">
      <c r="F142" t="s">
        <v>902</v>
      </c>
      <c r="G142" s="72" t="s">
        <v>282</v>
      </c>
      <c r="H142" s="98">
        <f t="shared" si="43"/>
        <v>1.0980000000000001</v>
      </c>
      <c r="J142" s="98">
        <f>OR(SUM(J72:$S72) = 1, SUM(J72:$S72) = -1) * J$29</f>
        <v>0</v>
      </c>
      <c r="K142" s="98">
        <f>OR(SUM(K72:$S72) = 1, SUM(K72:$S72) = -1) * K$29</f>
        <v>0</v>
      </c>
      <c r="L142" s="98">
        <f>OR(SUM(L72:$S72) = 1, SUM(L72:$S72) = -1) * L$29</f>
        <v>0</v>
      </c>
      <c r="M142" s="98">
        <f>OR(SUM(M72:$S72) = 1, SUM(M72:$S72) = -1) * M$29</f>
        <v>0</v>
      </c>
      <c r="N142" s="98">
        <f>OR(SUM(N72:$S72) = 1, SUM(N72:$S72) = -1) * N$29</f>
        <v>0</v>
      </c>
      <c r="O142" s="98">
        <f>OR(SUM(O72:$S72) = 1, SUM(O72:$S72) = -1) * O$29</f>
        <v>0</v>
      </c>
      <c r="P142" s="98">
        <f>OR(SUM(P72:$S72) = 1, SUM(P72:$S72) = -1) * P$29</f>
        <v>0</v>
      </c>
      <c r="Q142" s="98">
        <f>OR(SUM(Q72:$S72) = 1, SUM(Q72:$S72) = -1) * Q$29</f>
        <v>0</v>
      </c>
      <c r="R142" s="98">
        <f>OR(SUM(R72:$S72) = 1, SUM(R72:$S72) = -1) * R$29</f>
        <v>0</v>
      </c>
      <c r="S142" s="98">
        <f>OR(SUM(S72:$S72) = 1, SUM(S72:$S72) = -1) * S$29</f>
        <v>1.0980000000000001</v>
      </c>
      <c r="T142" s="79"/>
      <c r="U142" s="79"/>
    </row>
    <row r="143" spans="3:23" x14ac:dyDescent="0.25">
      <c r="F143" t="s">
        <v>903</v>
      </c>
      <c r="G143" s="72" t="s">
        <v>282</v>
      </c>
      <c r="H143" s="98">
        <f t="shared" si="43"/>
        <v>1.044</v>
      </c>
      <c r="J143" s="98">
        <f>OR(SUM(J73:$S73) = 1, SUM(J73:$S73) = -1) * J$29</f>
        <v>0</v>
      </c>
      <c r="K143" s="98">
        <f>OR(SUM(K73:$S73) = 1, SUM(K73:$S73) = -1) * K$29</f>
        <v>0</v>
      </c>
      <c r="L143" s="98">
        <f>OR(SUM(L73:$S73) = 1, SUM(L73:$S73) = -1) * L$29</f>
        <v>0</v>
      </c>
      <c r="M143" s="98">
        <f>OR(SUM(M73:$S73) = 1, SUM(M73:$S73) = -1) * M$29</f>
        <v>0</v>
      </c>
      <c r="N143" s="98">
        <f>OR(SUM(N73:$S73) = 1, SUM(N73:$S73) = -1) * N$29</f>
        <v>0</v>
      </c>
      <c r="O143" s="98">
        <f>OR(SUM(O73:$S73) = 1, SUM(O73:$S73) = -1) * O$29</f>
        <v>0</v>
      </c>
      <c r="P143" s="98">
        <f>OR(SUM(P73:$S73) = 1, SUM(P73:$S73) = -1) * P$29</f>
        <v>0</v>
      </c>
      <c r="Q143" s="98">
        <f>OR(SUM(Q73:$S73) = 1, SUM(Q73:$S73) = -1) * Q$29</f>
        <v>0</v>
      </c>
      <c r="R143" s="98">
        <f>OR(SUM(R73:$S73) = 1, SUM(R73:$S73) = -1) * R$29</f>
        <v>1.044</v>
      </c>
      <c r="S143" s="98">
        <f>OR(SUM(S73:$S73) = 1, SUM(S73:$S73) = -1) * S$29</f>
        <v>0</v>
      </c>
      <c r="T143" s="79"/>
      <c r="U143" s="79"/>
    </row>
    <row r="144" spans="3:23" x14ac:dyDescent="0.25">
      <c r="F144" t="s">
        <v>904</v>
      </c>
      <c r="G144" s="72" t="s">
        <v>282</v>
      </c>
      <c r="H144" s="98">
        <f t="shared" si="43"/>
        <v>1.026</v>
      </c>
      <c r="J144" s="98">
        <f>OR(SUM(J74:$S74) = 1, SUM(J74:$S74) = -1) * J$29</f>
        <v>0</v>
      </c>
      <c r="K144" s="98">
        <f>OR(SUM(K74:$S74) = 1, SUM(K74:$S74) = -1) * K$29</f>
        <v>0</v>
      </c>
      <c r="L144" s="98">
        <f>OR(SUM(L74:$S74) = 1, SUM(L74:$S74) = -1) * L$29</f>
        <v>0</v>
      </c>
      <c r="M144" s="98">
        <f>OR(SUM(M74:$S74) = 1, SUM(M74:$S74) = -1) * M$29</f>
        <v>0</v>
      </c>
      <c r="N144" s="98">
        <f>OR(SUM(N74:$S74) = 1, SUM(N74:$S74) = -1) * N$29</f>
        <v>0</v>
      </c>
      <c r="O144" s="98">
        <f>OR(SUM(O74:$S74) = 1, SUM(O74:$S74) = -1) * O$29</f>
        <v>0</v>
      </c>
      <c r="P144" s="98">
        <f>OR(SUM(P74:$S74) = 1, SUM(P74:$S74) = -1) * P$29</f>
        <v>1.0129999999999999</v>
      </c>
      <c r="Q144" s="98">
        <f>OR(SUM(Q74:$S74) = 1, SUM(Q74:$S74) = -1) * Q$29</f>
        <v>1.026</v>
      </c>
      <c r="R144" s="98">
        <f>OR(SUM(R74:$S74) = 1, SUM(R74:$S74) = -1) * R$29</f>
        <v>0</v>
      </c>
      <c r="S144" s="98">
        <f>OR(SUM(S74:$S74) = 1, SUM(S74:$S74) = -1) * S$29</f>
        <v>0</v>
      </c>
      <c r="T144" s="79"/>
      <c r="U144" s="79"/>
    </row>
    <row r="145" spans="5:23" x14ac:dyDescent="0.25">
      <c r="F145" t="s">
        <v>1027</v>
      </c>
      <c r="G145" s="72" t="s">
        <v>282</v>
      </c>
      <c r="H145" s="98">
        <f t="shared" ref="H145:H147" si="44">MAX(J145:S145)</f>
        <v>1.0980000000000001</v>
      </c>
      <c r="J145" s="98">
        <f>OR(SUM(J75:$S75) = 1, SUM(J75:$S75) = -1) * J$29</f>
        <v>0</v>
      </c>
      <c r="K145" s="98">
        <f>OR(SUM(K75:$S75) = 1, SUM(K75:$S75) = -1) * K$29</f>
        <v>0</v>
      </c>
      <c r="L145" s="98">
        <f>OR(SUM(L75:$S75) = 1, SUM(L75:$S75) = -1) * L$29</f>
        <v>0</v>
      </c>
      <c r="M145" s="98">
        <f>OR(SUM(M75:$S75) = 1, SUM(M75:$S75) = -1) * M$29</f>
        <v>0</v>
      </c>
      <c r="N145" s="98">
        <f>OR(SUM(N75:$S75) = 1, SUM(N75:$S75) = -1) * N$29</f>
        <v>0</v>
      </c>
      <c r="O145" s="98">
        <f>OR(SUM(O75:$S75) = 1, SUM(O75:$S75) = -1) * O$29</f>
        <v>0</v>
      </c>
      <c r="P145" s="98">
        <f>OR(SUM(P75:$S75) = 1, SUM(P75:$S75) = -1) * P$29</f>
        <v>0</v>
      </c>
      <c r="Q145" s="98">
        <f>OR(SUM(Q75:$S75) = 1, SUM(Q75:$S75) = -1) * Q$29</f>
        <v>0</v>
      </c>
      <c r="R145" s="98">
        <f>OR(SUM(R75:$S75) = 1, SUM(R75:$S75) = -1) * R$29</f>
        <v>0</v>
      </c>
      <c r="S145" s="98">
        <f>OR(SUM(S75:$S75) = 1, SUM(S75:$S75) = -1) * S$29</f>
        <v>1.0980000000000001</v>
      </c>
      <c r="T145" s="79"/>
      <c r="U145" s="79"/>
    </row>
    <row r="146" spans="5:23" x14ac:dyDescent="0.25">
      <c r="F146" t="s">
        <v>1028</v>
      </c>
      <c r="G146" s="72" t="s">
        <v>282</v>
      </c>
      <c r="H146" s="98">
        <f t="shared" si="44"/>
        <v>1.044</v>
      </c>
      <c r="J146" s="98">
        <f>OR(SUM(J76:$S76) = 1, SUM(J76:$S76) = -1) * J$29</f>
        <v>0</v>
      </c>
      <c r="K146" s="98">
        <f>OR(SUM(K76:$S76) = 1, SUM(K76:$S76) = -1) * K$29</f>
        <v>0</v>
      </c>
      <c r="L146" s="98">
        <f>OR(SUM(L76:$S76) = 1, SUM(L76:$S76) = -1) * L$29</f>
        <v>0</v>
      </c>
      <c r="M146" s="98">
        <f>OR(SUM(M76:$S76) = 1, SUM(M76:$S76) = -1) * M$29</f>
        <v>0</v>
      </c>
      <c r="N146" s="98">
        <f>OR(SUM(N76:$S76) = 1, SUM(N76:$S76) = -1) * N$29</f>
        <v>0</v>
      </c>
      <c r="O146" s="98">
        <f>OR(SUM(O76:$S76) = 1, SUM(O76:$S76) = -1) * O$29</f>
        <v>0</v>
      </c>
      <c r="P146" s="98">
        <f>OR(SUM(P76:$S76) = 1, SUM(P76:$S76) = -1) * P$29</f>
        <v>0</v>
      </c>
      <c r="Q146" s="98">
        <f>OR(SUM(Q76:$S76) = 1, SUM(Q76:$S76) = -1) * Q$29</f>
        <v>0</v>
      </c>
      <c r="R146" s="98">
        <f>OR(SUM(R76:$S76) = 1, SUM(R76:$S76) = -1) * R$29</f>
        <v>1.044</v>
      </c>
      <c r="S146" s="98">
        <f>OR(SUM(S76:$S76) = 1, SUM(S76:$S76) = -1) * S$29</f>
        <v>0</v>
      </c>
      <c r="T146" s="79"/>
      <c r="U146" s="79"/>
    </row>
    <row r="147" spans="5:23" x14ac:dyDescent="0.25">
      <c r="F147" t="s">
        <v>1029</v>
      </c>
      <c r="G147" s="72" t="s">
        <v>282</v>
      </c>
      <c r="H147" s="98">
        <f t="shared" si="44"/>
        <v>1.026</v>
      </c>
      <c r="J147" s="98">
        <f>OR(SUM(J77:$S77) = 1, SUM(J77:$S77) = -1) * J$29</f>
        <v>0</v>
      </c>
      <c r="K147" s="98">
        <f>OR(SUM(K77:$S77) = 1, SUM(K77:$S77) = -1) * K$29</f>
        <v>0</v>
      </c>
      <c r="L147" s="98">
        <f>OR(SUM(L77:$S77) = 1, SUM(L77:$S77) = -1) * L$29</f>
        <v>0</v>
      </c>
      <c r="M147" s="98">
        <f>OR(SUM(M77:$S77) = 1, SUM(M77:$S77) = -1) * M$29</f>
        <v>0</v>
      </c>
      <c r="N147" s="98">
        <f>OR(SUM(N77:$S77) = 1, SUM(N77:$S77) = -1) * N$29</f>
        <v>0</v>
      </c>
      <c r="O147" s="98">
        <f>OR(SUM(O77:$S77) = 1, SUM(O77:$S77) = -1) * O$29</f>
        <v>0</v>
      </c>
      <c r="P147" s="98">
        <f>OR(SUM(P77:$S77) = 1, SUM(P77:$S77) = -1) * P$29</f>
        <v>1.0129999999999999</v>
      </c>
      <c r="Q147" s="98">
        <f>OR(SUM(Q77:$S77) = 1, SUM(Q77:$S77) = -1) * Q$29</f>
        <v>1.026</v>
      </c>
      <c r="R147" s="98">
        <f>OR(SUM(R77:$S77) = 1, SUM(R77:$S77) = -1) * R$29</f>
        <v>0</v>
      </c>
      <c r="S147" s="98">
        <f>OR(SUM(S77:$S77) = 1, SUM(S77:$S77) = -1) * S$29</f>
        <v>0</v>
      </c>
      <c r="T147" s="79"/>
      <c r="U147" s="79"/>
    </row>
    <row r="148" spans="5:23" x14ac:dyDescent="0.25">
      <c r="F148" t="s">
        <v>905</v>
      </c>
      <c r="G148" s="72" t="s">
        <v>282</v>
      </c>
      <c r="H148" s="98">
        <f t="shared" si="43"/>
        <v>1.0980000000000001</v>
      </c>
      <c r="J148" s="98">
        <f>OR(SUM(J78:$S78) = 1, SUM(J78:$S78) = -1) * J$29</f>
        <v>0</v>
      </c>
      <c r="K148" s="98">
        <f>OR(SUM(K78:$S78) = 1, SUM(K78:$S78) = -1) * K$29</f>
        <v>0</v>
      </c>
      <c r="L148" s="98">
        <f>OR(SUM(L78:$S78) = 1, SUM(L78:$S78) = -1) * L$29</f>
        <v>0</v>
      </c>
      <c r="M148" s="98">
        <f>OR(SUM(M78:$S78) = 1, SUM(M78:$S78) = -1) * M$29</f>
        <v>0</v>
      </c>
      <c r="N148" s="98">
        <f>OR(SUM(N78:$S78) = 1, SUM(N78:$S78) = -1) * N$29</f>
        <v>0</v>
      </c>
      <c r="O148" s="98">
        <f>OR(SUM(O78:$S78) = 1, SUM(O78:$S78) = -1) * O$29</f>
        <v>0</v>
      </c>
      <c r="P148" s="98">
        <f>OR(SUM(P78:$S78) = 1, SUM(P78:$S78) = -1) * P$29</f>
        <v>0</v>
      </c>
      <c r="Q148" s="98">
        <f>OR(SUM(Q78:$S78) = 1, SUM(Q78:$S78) = -1) * Q$29</f>
        <v>0</v>
      </c>
      <c r="R148" s="98">
        <f>OR(SUM(R78:$S78) = 1, SUM(R78:$S78) = -1) * R$29</f>
        <v>0</v>
      </c>
      <c r="S148" s="98">
        <f>OR(SUM(S78:$S78) = 1, SUM(S78:$S78) = -1) * S$29</f>
        <v>1.0980000000000001</v>
      </c>
      <c r="T148" s="79"/>
      <c r="U148" s="79"/>
    </row>
    <row r="149" spans="5:23" x14ac:dyDescent="0.25">
      <c r="F149" t="s">
        <v>897</v>
      </c>
      <c r="G149" s="72" t="s">
        <v>282</v>
      </c>
      <c r="H149" s="98">
        <f t="shared" si="43"/>
        <v>1.0980000000000001</v>
      </c>
      <c r="J149" s="98">
        <f>OR(SUM(J79:$S79) = 1, SUM(J79:$S79) = -1) * J$29</f>
        <v>0</v>
      </c>
      <c r="K149" s="98">
        <f>OR(SUM(K79:$S79) = 1, SUM(K79:$S79) = -1) * K$29</f>
        <v>0</v>
      </c>
      <c r="L149" s="98">
        <f>OR(SUM(L79:$S79) = 1, SUM(L79:$S79) = -1) * L$29</f>
        <v>0</v>
      </c>
      <c r="M149" s="98">
        <f>OR(SUM(M79:$S79) = 1, SUM(M79:$S79) = -1) * M$29</f>
        <v>0</v>
      </c>
      <c r="N149" s="98">
        <f>OR(SUM(N79:$S79) = 1, SUM(N79:$S79) = -1) * N$29</f>
        <v>0</v>
      </c>
      <c r="O149" s="98">
        <f>OR(SUM(O79:$S79) = 1, SUM(O79:$S79) = -1) * O$29</f>
        <v>0</v>
      </c>
      <c r="P149" s="98">
        <f>OR(SUM(P79:$S79) = 1, SUM(P79:$S79) = -1) * P$29</f>
        <v>0</v>
      </c>
      <c r="Q149" s="98">
        <f>OR(SUM(Q79:$S79) = 1, SUM(Q79:$S79) = -1) * Q$29</f>
        <v>0</v>
      </c>
      <c r="R149" s="98">
        <f>OR(SUM(R79:$S79) = 1, SUM(R79:$S79) = -1) * R$29</f>
        <v>0</v>
      </c>
      <c r="S149" s="98">
        <f>OR(SUM(S79:$S79) = 1, SUM(S79:$S79) = -1) * S$29</f>
        <v>1.0980000000000001</v>
      </c>
      <c r="T149" s="79"/>
      <c r="U149" s="79"/>
    </row>
    <row r="150" spans="5:23" x14ac:dyDescent="0.25">
      <c r="F150" t="s">
        <v>898</v>
      </c>
      <c r="G150" s="72" t="s">
        <v>282</v>
      </c>
      <c r="H150" s="98">
        <f t="shared" si="43"/>
        <v>1.044</v>
      </c>
      <c r="J150" s="98">
        <f>OR(SUM(J80:$S80) = 1, SUM(J80:$S80) = -1) * J$29</f>
        <v>0</v>
      </c>
      <c r="K150" s="98">
        <f>OR(SUM(K80:$S80) = 1, SUM(K80:$S80) = -1) * K$29</f>
        <v>0</v>
      </c>
      <c r="L150" s="98">
        <f>OR(SUM(L80:$S80) = 1, SUM(L80:$S80) = -1) * L$29</f>
        <v>0</v>
      </c>
      <c r="M150" s="98">
        <f>OR(SUM(M80:$S80) = 1, SUM(M80:$S80) = -1) * M$29</f>
        <v>0</v>
      </c>
      <c r="N150" s="98">
        <f>OR(SUM(N80:$S80) = 1, SUM(N80:$S80) = -1) * N$29</f>
        <v>0</v>
      </c>
      <c r="O150" s="98">
        <f>OR(SUM(O80:$S80) = 1, SUM(O80:$S80) = -1) * O$29</f>
        <v>0</v>
      </c>
      <c r="P150" s="98">
        <f>OR(SUM(P80:$S80) = 1, SUM(P80:$S80) = -1) * P$29</f>
        <v>0</v>
      </c>
      <c r="Q150" s="98">
        <f>OR(SUM(Q80:$S80) = 1, SUM(Q80:$S80) = -1) * Q$29</f>
        <v>0</v>
      </c>
      <c r="R150" s="98">
        <f>OR(SUM(R80:$S80) = 1, SUM(R80:$S80) = -1) * R$29</f>
        <v>1.044</v>
      </c>
      <c r="S150" s="98">
        <f>OR(SUM(S80:$S80) = 1, SUM(S80:$S80) = -1) * S$29</f>
        <v>0</v>
      </c>
      <c r="T150" s="79"/>
      <c r="U150" s="79"/>
    </row>
    <row r="151" spans="5:23" x14ac:dyDescent="0.25">
      <c r="F151" t="s">
        <v>899</v>
      </c>
      <c r="G151" s="72" t="s">
        <v>282</v>
      </c>
      <c r="H151" s="98">
        <f t="shared" si="43"/>
        <v>1.0980000000000001</v>
      </c>
      <c r="J151" s="98">
        <f>OR(SUM(J81:$S81) = 1, SUM(J81:$S81) = -1) * J$29</f>
        <v>0</v>
      </c>
      <c r="K151" s="98">
        <f>OR(SUM(K81:$S81) = 1, SUM(K81:$S81) = -1) * K$29</f>
        <v>0</v>
      </c>
      <c r="L151" s="98">
        <f>OR(SUM(L81:$S81) = 1, SUM(L81:$S81) = -1) * L$29</f>
        <v>0</v>
      </c>
      <c r="M151" s="98">
        <f>OR(SUM(M81:$S81) = 1, SUM(M81:$S81) = -1) * M$29</f>
        <v>0</v>
      </c>
      <c r="N151" s="98">
        <f>OR(SUM(N81:$S81) = 1, SUM(N81:$S81) = -1) * N$29</f>
        <v>0</v>
      </c>
      <c r="O151" s="98">
        <f>OR(SUM(O81:$S81) = 1, SUM(O81:$S81) = -1) * O$29</f>
        <v>0</v>
      </c>
      <c r="P151" s="98">
        <f>OR(SUM(P81:$S81) = 1, SUM(P81:$S81) = -1) * P$29</f>
        <v>0</v>
      </c>
      <c r="Q151" s="98">
        <f>OR(SUM(Q81:$S81) = 1, SUM(Q81:$S81) = -1) * Q$29</f>
        <v>0</v>
      </c>
      <c r="R151" s="98">
        <f>OR(SUM(R81:$S81) = 1, SUM(R81:$S81) = -1) * R$29</f>
        <v>0</v>
      </c>
      <c r="S151" s="98">
        <f>OR(SUM(S81:$S81) = 1, SUM(S81:$S81) = -1) * S$29</f>
        <v>1.0980000000000001</v>
      </c>
      <c r="T151" s="79"/>
      <c r="U151" s="79"/>
    </row>
    <row r="152" spans="5:23" x14ac:dyDescent="0.25">
      <c r="F152" t="s">
        <v>908</v>
      </c>
      <c r="G152" s="72" t="s">
        <v>282</v>
      </c>
      <c r="H152" s="98">
        <f t="shared" si="43"/>
        <v>1.0980000000000001</v>
      </c>
      <c r="J152" s="98">
        <f>OR(SUM(J82:$S82) = 1, SUM(J82:$S82) = -1) * J$29</f>
        <v>0</v>
      </c>
      <c r="K152" s="98">
        <f>OR(SUM(K82:$S82) = 1, SUM(K82:$S82) = -1) * K$29</f>
        <v>0</v>
      </c>
      <c r="L152" s="98">
        <f>OR(SUM(L82:$S82) = 1, SUM(L82:$S82) = -1) * L$29</f>
        <v>0</v>
      </c>
      <c r="M152" s="98">
        <f>OR(SUM(M82:$S82) = 1, SUM(M82:$S82) = -1) * M$29</f>
        <v>0</v>
      </c>
      <c r="N152" s="98">
        <f>OR(SUM(N82:$S82) = 1, SUM(N82:$S82) = -1) * N$29</f>
        <v>0</v>
      </c>
      <c r="O152" s="98">
        <f>OR(SUM(O82:$S82) = 1, SUM(O82:$S82) = -1) * O$29</f>
        <v>0</v>
      </c>
      <c r="P152" s="98">
        <f>OR(SUM(P82:$S82) = 1, SUM(P82:$S82) = -1) * P$29</f>
        <v>0</v>
      </c>
      <c r="Q152" s="98">
        <f>OR(SUM(Q82:$S82) = 1, SUM(Q82:$S82) = -1) * Q$29</f>
        <v>0</v>
      </c>
      <c r="R152" s="98">
        <f>OR(SUM(R82:$S82) = 1, SUM(R82:$S82) = -1) * R$29</f>
        <v>0</v>
      </c>
      <c r="S152" s="98">
        <f>OR(SUM(S82:$S82) = 1, SUM(S82:$S82) = -1) * S$29</f>
        <v>1.0980000000000001</v>
      </c>
      <c r="T152" s="79"/>
      <c r="U152" s="79"/>
    </row>
    <row r="153" spans="5:23" x14ac:dyDescent="0.25">
      <c r="F153" t="s">
        <v>900</v>
      </c>
      <c r="G153" s="72" t="s">
        <v>282</v>
      </c>
      <c r="H153" s="98">
        <f t="shared" si="43"/>
        <v>1.044</v>
      </c>
      <c r="J153" s="98">
        <f>OR(SUM(J83:$S83) = 1, SUM(J83:$S83) = -1) * J$29</f>
        <v>0</v>
      </c>
      <c r="K153" s="98">
        <f>OR(SUM(K83:$S83) = 1, SUM(K83:$S83) = -1) * K$29</f>
        <v>0</v>
      </c>
      <c r="L153" s="98">
        <f>OR(SUM(L83:$S83) = 1, SUM(L83:$S83) = -1) * L$29</f>
        <v>0</v>
      </c>
      <c r="M153" s="98">
        <f>OR(SUM(M83:$S83) = 1, SUM(M83:$S83) = -1) * M$29</f>
        <v>0</v>
      </c>
      <c r="N153" s="98">
        <f>OR(SUM(N83:$S83) = 1, SUM(N83:$S83) = -1) * N$29</f>
        <v>0</v>
      </c>
      <c r="O153" s="98">
        <f>OR(SUM(O83:$S83) = 1, SUM(O83:$S83) = -1) * O$29</f>
        <v>0</v>
      </c>
      <c r="P153" s="98">
        <f>OR(SUM(P83:$S83) = 1, SUM(P83:$S83) = -1) * P$29</f>
        <v>0</v>
      </c>
      <c r="Q153" s="98">
        <f>OR(SUM(Q83:$S83) = 1, SUM(Q83:$S83) = -1) * Q$29</f>
        <v>0</v>
      </c>
      <c r="R153" s="98">
        <f>OR(SUM(R83:$S83) = 1, SUM(R83:$S83) = -1) * R$29</f>
        <v>1.044</v>
      </c>
      <c r="S153" s="98">
        <f>OR(SUM(S83:$S83) = 1, SUM(S83:$S83) = -1) * S$29</f>
        <v>0</v>
      </c>
      <c r="T153" s="79"/>
      <c r="U153" s="79"/>
    </row>
    <row r="154" spans="5:23" x14ac:dyDescent="0.25">
      <c r="F154" t="s">
        <v>907</v>
      </c>
      <c r="G154" s="72" t="s">
        <v>282</v>
      </c>
      <c r="H154" s="98">
        <f t="shared" si="43"/>
        <v>1.044</v>
      </c>
      <c r="J154" s="98">
        <f>OR(SUM(J84:$S84) = 1, SUM(J84:$S84) = -1) * J$29</f>
        <v>0</v>
      </c>
      <c r="K154" s="98">
        <f>OR(SUM(K84:$S84) = 1, SUM(K84:$S84) = -1) * K$29</f>
        <v>0</v>
      </c>
      <c r="L154" s="98">
        <f>OR(SUM(L84:$S84) = 1, SUM(L84:$S84) = -1) * L$29</f>
        <v>0</v>
      </c>
      <c r="M154" s="98">
        <f>OR(SUM(M84:$S84) = 1, SUM(M84:$S84) = -1) * M$29</f>
        <v>0</v>
      </c>
      <c r="N154" s="98">
        <f>OR(SUM(N84:$S84) = 1, SUM(N84:$S84) = -1) * N$29</f>
        <v>0</v>
      </c>
      <c r="O154" s="98">
        <f>OR(SUM(O84:$S84) = 1, SUM(O84:$S84) = -1) * O$29</f>
        <v>0</v>
      </c>
      <c r="P154" s="98">
        <f>OR(SUM(P84:$S84) = 1, SUM(P84:$S84) = -1) * P$29</f>
        <v>0</v>
      </c>
      <c r="Q154" s="98">
        <f>OR(SUM(Q84:$S84) = 1, SUM(Q84:$S84) = -1) * Q$29</f>
        <v>0</v>
      </c>
      <c r="R154" s="98">
        <f>OR(SUM(R84:$S84) = 1, SUM(R84:$S84) = -1) * R$29</f>
        <v>1.044</v>
      </c>
      <c r="S154" s="98">
        <f>OR(SUM(S84:$S84) = 1, SUM(S84:$S84) = -1) * S$29</f>
        <v>0</v>
      </c>
      <c r="T154" s="79"/>
      <c r="U154" s="79"/>
    </row>
    <row r="155" spans="5:23" x14ac:dyDescent="0.25">
      <c r="F155" t="s">
        <v>901</v>
      </c>
      <c r="G155" s="72" t="s">
        <v>282</v>
      </c>
      <c r="H155" s="98">
        <f t="shared" si="43"/>
        <v>1.026</v>
      </c>
      <c r="J155" s="98">
        <f>OR(SUM(J85:$S85) = 1, SUM(J85:$S85) = -1) * J$29</f>
        <v>0</v>
      </c>
      <c r="K155" s="98">
        <f>OR(SUM(K85:$S85) = 1, SUM(K85:$S85) = -1) * K$29</f>
        <v>0</v>
      </c>
      <c r="L155" s="98">
        <f>OR(SUM(L85:$S85) = 1, SUM(L85:$S85) = -1) * L$29</f>
        <v>0</v>
      </c>
      <c r="M155" s="98">
        <f>OR(SUM(M85:$S85) = 1, SUM(M85:$S85) = -1) * M$29</f>
        <v>0</v>
      </c>
      <c r="N155" s="98">
        <f>OR(SUM(N85:$S85) = 1, SUM(N85:$S85) = -1) * N$29</f>
        <v>0</v>
      </c>
      <c r="O155" s="98">
        <f>OR(SUM(O85:$S85) = 1, SUM(O85:$S85) = -1) * O$29</f>
        <v>0</v>
      </c>
      <c r="P155" s="98">
        <f>OR(SUM(P85:$S85) = 1, SUM(P85:$S85) = -1) * P$29</f>
        <v>1.0129999999999999</v>
      </c>
      <c r="Q155" s="98">
        <f>OR(SUM(Q85:$S85) = 1, SUM(Q85:$S85) = -1) * Q$29</f>
        <v>1.026</v>
      </c>
      <c r="R155" s="98">
        <f>OR(SUM(R85:$S85) = 1, SUM(R85:$S85) = -1) * R$29</f>
        <v>0</v>
      </c>
      <c r="S155" s="98">
        <f>OR(SUM(S85:$S85) = 1, SUM(S85:$S85) = -1) * S$29</f>
        <v>0</v>
      </c>
      <c r="T155" s="79"/>
      <c r="U155" s="79"/>
    </row>
    <row r="156" spans="5:23" x14ac:dyDescent="0.25">
      <c r="F156" s="37" t="s">
        <v>906</v>
      </c>
      <c r="G156" s="80" t="s">
        <v>282</v>
      </c>
      <c r="H156" s="100">
        <f t="shared" si="43"/>
        <v>1.026</v>
      </c>
      <c r="I156" s="37"/>
      <c r="J156" s="100">
        <f>OR(SUM(J86:$S86) = 1, SUM(J86:$S86) = -1) * J$29</f>
        <v>0</v>
      </c>
      <c r="K156" s="100">
        <f>OR(SUM(K86:$S86) = 1, SUM(K86:$S86) = -1) * K$29</f>
        <v>0</v>
      </c>
      <c r="L156" s="100">
        <f>OR(SUM(L86:$S86) = 1, SUM(L86:$S86) = -1) * L$29</f>
        <v>0</v>
      </c>
      <c r="M156" s="100">
        <f>OR(SUM(M86:$S86) = 1, SUM(M86:$S86) = -1) * M$29</f>
        <v>0</v>
      </c>
      <c r="N156" s="100">
        <f>OR(SUM(N86:$S86) = 1, SUM(N86:$S86) = -1) * N$29</f>
        <v>0</v>
      </c>
      <c r="O156" s="100">
        <f>OR(SUM(O86:$S86) = 1, SUM(O86:$S86) = -1) * O$29</f>
        <v>0</v>
      </c>
      <c r="P156" s="100">
        <f>OR(SUM(P86:$S86) = 1, SUM(P86:$S86) = -1) * P$29</f>
        <v>1.0129999999999999</v>
      </c>
      <c r="Q156" s="100">
        <f>OR(SUM(Q86:$S86) = 1, SUM(Q86:$S86) = -1) * Q$29</f>
        <v>1.026</v>
      </c>
      <c r="R156" s="100">
        <f>OR(SUM(R86:$S86) = 1, SUM(R86:$S86) = -1) * R$29</f>
        <v>0</v>
      </c>
      <c r="S156" s="100">
        <f>OR(SUM(S86:$S86) = 1, SUM(S86:$S86) = -1) * S$29</f>
        <v>0</v>
      </c>
      <c r="T156" s="81"/>
      <c r="U156" s="81"/>
    </row>
    <row r="157" spans="5:23" x14ac:dyDescent="0.25">
      <c r="G157" s="13"/>
    </row>
    <row r="158" spans="5:23" x14ac:dyDescent="0.25">
      <c r="E158" s="32" t="s">
        <v>407</v>
      </c>
      <c r="G158" s="13"/>
      <c r="I158" t="s">
        <v>153</v>
      </c>
      <c r="W158" s="3" t="s">
        <v>408</v>
      </c>
    </row>
    <row r="159" spans="5:23" x14ac:dyDescent="0.25">
      <c r="E159" s="29" t="s">
        <v>400</v>
      </c>
      <c r="G159" s="13"/>
    </row>
    <row r="160" spans="5:23" x14ac:dyDescent="0.25">
      <c r="F160" s="23" t="s">
        <v>893</v>
      </c>
      <c r="G160" s="78" t="s">
        <v>282</v>
      </c>
      <c r="H160" s="129"/>
      <c r="I160" s="23"/>
      <c r="J160" s="101">
        <f t="shared" ref="J160:S160" si="45">$H138 * J113</f>
        <v>1.0980000000000001</v>
      </c>
      <c r="K160" s="101">
        <f t="shared" si="45"/>
        <v>1.0980000000000001</v>
      </c>
      <c r="L160" s="101">
        <f t="shared" si="45"/>
        <v>1.0980000000000001</v>
      </c>
      <c r="M160" s="101">
        <f t="shared" si="45"/>
        <v>1.0980000000000001</v>
      </c>
      <c r="N160" s="101">
        <f t="shared" si="45"/>
        <v>1.0980000000000001</v>
      </c>
      <c r="O160" s="101">
        <f t="shared" si="45"/>
        <v>1.0980000000000001</v>
      </c>
      <c r="P160" s="101">
        <f t="shared" si="45"/>
        <v>0</v>
      </c>
      <c r="Q160" s="101">
        <f t="shared" si="45"/>
        <v>1.0980000000000001</v>
      </c>
      <c r="R160" s="101">
        <f t="shared" si="45"/>
        <v>1.0980000000000001</v>
      </c>
      <c r="S160" s="101">
        <f t="shared" si="45"/>
        <v>1.0980000000000001</v>
      </c>
      <c r="T160" s="83"/>
      <c r="U160" s="83"/>
    </row>
    <row r="161" spans="6:23" x14ac:dyDescent="0.25">
      <c r="F161" t="s">
        <v>895</v>
      </c>
      <c r="G161" s="72" t="s">
        <v>282</v>
      </c>
      <c r="H161" s="63"/>
      <c r="J161" s="121">
        <f t="shared" ref="J161:S161" si="46">$H139 * J114</f>
        <v>1.0980000000000001</v>
      </c>
      <c r="K161" s="121">
        <f t="shared" si="46"/>
        <v>1.0980000000000001</v>
      </c>
      <c r="L161" s="121">
        <f t="shared" si="46"/>
        <v>1.0980000000000001</v>
      </c>
      <c r="M161" s="121">
        <f t="shared" si="46"/>
        <v>1.0980000000000001</v>
      </c>
      <c r="N161" s="121">
        <f t="shared" si="46"/>
        <v>1.0980000000000001</v>
      </c>
      <c r="O161" s="121">
        <f t="shared" si="46"/>
        <v>1.0980000000000001</v>
      </c>
      <c r="P161" s="121">
        <f t="shared" si="46"/>
        <v>0</v>
      </c>
      <c r="Q161" s="121">
        <f t="shared" si="46"/>
        <v>1.0980000000000001</v>
      </c>
      <c r="R161" s="121">
        <f t="shared" si="46"/>
        <v>1.0980000000000001</v>
      </c>
      <c r="S161" s="121">
        <f t="shared" si="46"/>
        <v>1.0980000000000001</v>
      </c>
      <c r="T161" s="79"/>
      <c r="U161" s="79"/>
      <c r="W161" s="3"/>
    </row>
    <row r="162" spans="6:23" x14ac:dyDescent="0.25">
      <c r="F162" t="s">
        <v>894</v>
      </c>
      <c r="G162" s="72" t="s">
        <v>282</v>
      </c>
      <c r="H162" s="63"/>
      <c r="J162" s="121">
        <f t="shared" ref="J162:S162" si="47">$H140 * J115</f>
        <v>1.0980000000000001</v>
      </c>
      <c r="K162" s="121">
        <f t="shared" si="47"/>
        <v>1.0980000000000001</v>
      </c>
      <c r="L162" s="121">
        <f t="shared" si="47"/>
        <v>1.0980000000000001</v>
      </c>
      <c r="M162" s="121">
        <f t="shared" si="47"/>
        <v>1.0980000000000001</v>
      </c>
      <c r="N162" s="121">
        <f t="shared" si="47"/>
        <v>1.0980000000000001</v>
      </c>
      <c r="O162" s="121">
        <f t="shared" si="47"/>
        <v>1.0980000000000001</v>
      </c>
      <c r="P162" s="121">
        <f t="shared" si="47"/>
        <v>0</v>
      </c>
      <c r="Q162" s="121">
        <f t="shared" si="47"/>
        <v>1.0980000000000001</v>
      </c>
      <c r="R162" s="121">
        <f t="shared" si="47"/>
        <v>1.0980000000000001</v>
      </c>
      <c r="S162" s="121">
        <f t="shared" si="47"/>
        <v>1.0980000000000001</v>
      </c>
      <c r="T162" s="79"/>
      <c r="U162" s="79"/>
      <c r="W162" s="3"/>
    </row>
    <row r="163" spans="6:23" x14ac:dyDescent="0.25">
      <c r="F163" t="s">
        <v>896</v>
      </c>
      <c r="G163" s="72" t="s">
        <v>282</v>
      </c>
      <c r="H163" s="63"/>
      <c r="J163" s="121">
        <f t="shared" ref="J163:S163" si="48">$H141 * J116</f>
        <v>1.0980000000000001</v>
      </c>
      <c r="K163" s="121">
        <f t="shared" si="48"/>
        <v>1.0980000000000001</v>
      </c>
      <c r="L163" s="121">
        <f t="shared" si="48"/>
        <v>1.0980000000000001</v>
      </c>
      <c r="M163" s="121">
        <f t="shared" si="48"/>
        <v>1.0980000000000001</v>
      </c>
      <c r="N163" s="121">
        <f t="shared" si="48"/>
        <v>1.0980000000000001</v>
      </c>
      <c r="O163" s="121">
        <f t="shared" si="48"/>
        <v>1.0980000000000001</v>
      </c>
      <c r="P163" s="121">
        <f t="shared" si="48"/>
        <v>0</v>
      </c>
      <c r="Q163" s="121">
        <f t="shared" si="48"/>
        <v>1.0980000000000001</v>
      </c>
      <c r="R163" s="121">
        <f t="shared" si="48"/>
        <v>1.0980000000000001</v>
      </c>
      <c r="S163" s="121">
        <f t="shared" si="48"/>
        <v>1.0980000000000001</v>
      </c>
      <c r="T163" s="79"/>
      <c r="U163" s="79"/>
    </row>
    <row r="164" spans="6:23" x14ac:dyDescent="0.25">
      <c r="F164" t="s">
        <v>902</v>
      </c>
      <c r="G164" s="72" t="s">
        <v>282</v>
      </c>
      <c r="H164" s="63"/>
      <c r="J164" s="121">
        <f t="shared" ref="J164:S164" si="49">$H142 * J117</f>
        <v>1.0980000000000001</v>
      </c>
      <c r="K164" s="121">
        <f t="shared" si="49"/>
        <v>1.0980000000000001</v>
      </c>
      <c r="L164" s="121">
        <f t="shared" si="49"/>
        <v>1.0980000000000001</v>
      </c>
      <c r="M164" s="121">
        <f t="shared" si="49"/>
        <v>1.0980000000000001</v>
      </c>
      <c r="N164" s="121">
        <f t="shared" si="49"/>
        <v>1.0980000000000001</v>
      </c>
      <c r="O164" s="121">
        <f t="shared" si="49"/>
        <v>1.0980000000000001</v>
      </c>
      <c r="P164" s="121">
        <f t="shared" si="49"/>
        <v>0</v>
      </c>
      <c r="Q164" s="121">
        <f t="shared" si="49"/>
        <v>1.0980000000000001</v>
      </c>
      <c r="R164" s="121">
        <f t="shared" si="49"/>
        <v>1.0980000000000001</v>
      </c>
      <c r="S164" s="121">
        <f t="shared" si="49"/>
        <v>1.0980000000000001</v>
      </c>
      <c r="T164" s="79"/>
      <c r="U164" s="79"/>
    </row>
    <row r="165" spans="6:23" x14ac:dyDescent="0.25">
      <c r="F165" t="s">
        <v>903</v>
      </c>
      <c r="G165" s="72" t="s">
        <v>282</v>
      </c>
      <c r="H165" s="63"/>
      <c r="J165" s="121">
        <f t="shared" ref="J165:S165" si="50">$H143 * J118</f>
        <v>1.044</v>
      </c>
      <c r="K165" s="121">
        <f t="shared" si="50"/>
        <v>1.044</v>
      </c>
      <c r="L165" s="121">
        <f t="shared" si="50"/>
        <v>1.044</v>
      </c>
      <c r="M165" s="121">
        <f t="shared" si="50"/>
        <v>1.044</v>
      </c>
      <c r="N165" s="121">
        <f t="shared" si="50"/>
        <v>1.044</v>
      </c>
      <c r="O165" s="121">
        <f t="shared" si="50"/>
        <v>1.044</v>
      </c>
      <c r="P165" s="121">
        <f t="shared" si="50"/>
        <v>0</v>
      </c>
      <c r="Q165" s="121">
        <f t="shared" si="50"/>
        <v>1.044</v>
      </c>
      <c r="R165" s="121">
        <f t="shared" si="50"/>
        <v>1.044</v>
      </c>
      <c r="S165" s="121">
        <f t="shared" si="50"/>
        <v>0</v>
      </c>
      <c r="T165" s="79"/>
      <c r="U165" s="79"/>
    </row>
    <row r="166" spans="6:23" x14ac:dyDescent="0.25">
      <c r="F166" t="s">
        <v>904</v>
      </c>
      <c r="G166" s="72" t="s">
        <v>282</v>
      </c>
      <c r="H166" s="63"/>
      <c r="J166" s="121">
        <f t="shared" ref="J166:S166" si="51">$H144 * J119</f>
        <v>1.026</v>
      </c>
      <c r="K166" s="121">
        <f t="shared" si="51"/>
        <v>1.026</v>
      </c>
      <c r="L166" s="121">
        <f t="shared" si="51"/>
        <v>1.026</v>
      </c>
      <c r="M166" s="121">
        <f t="shared" si="51"/>
        <v>1.026</v>
      </c>
      <c r="N166" s="121">
        <f t="shared" si="51"/>
        <v>1.026</v>
      </c>
      <c r="O166" s="121">
        <f t="shared" si="51"/>
        <v>1.026</v>
      </c>
      <c r="P166" s="121">
        <f t="shared" si="51"/>
        <v>0</v>
      </c>
      <c r="Q166" s="121">
        <f t="shared" si="51"/>
        <v>1.026</v>
      </c>
      <c r="R166" s="121">
        <f t="shared" si="51"/>
        <v>0</v>
      </c>
      <c r="S166" s="121">
        <f t="shared" si="51"/>
        <v>0</v>
      </c>
      <c r="T166" s="79"/>
      <c r="U166" s="79"/>
    </row>
    <row r="167" spans="6:23" x14ac:dyDescent="0.25">
      <c r="F167" t="s">
        <v>1027</v>
      </c>
      <c r="G167" s="72" t="s">
        <v>282</v>
      </c>
      <c r="H167" s="63"/>
      <c r="J167" s="121">
        <f t="shared" ref="J167:S167" si="52">$H145 * J120</f>
        <v>1.0980000000000001</v>
      </c>
      <c r="K167" s="121">
        <f t="shared" si="52"/>
        <v>1.0980000000000001</v>
      </c>
      <c r="L167" s="121">
        <f t="shared" si="52"/>
        <v>1.0980000000000001</v>
      </c>
      <c r="M167" s="121">
        <f t="shared" si="52"/>
        <v>1.0980000000000001</v>
      </c>
      <c r="N167" s="121">
        <f t="shared" si="52"/>
        <v>1.0980000000000001</v>
      </c>
      <c r="O167" s="121">
        <f t="shared" si="52"/>
        <v>1.0980000000000001</v>
      </c>
      <c r="P167" s="121">
        <f t="shared" si="52"/>
        <v>0</v>
      </c>
      <c r="Q167" s="121">
        <f t="shared" si="52"/>
        <v>1.0980000000000001</v>
      </c>
      <c r="R167" s="121">
        <f t="shared" si="52"/>
        <v>1.0980000000000001</v>
      </c>
      <c r="S167" s="121">
        <f t="shared" si="52"/>
        <v>1.0980000000000001</v>
      </c>
      <c r="T167" s="79"/>
      <c r="U167" s="79"/>
    </row>
    <row r="168" spans="6:23" x14ac:dyDescent="0.25">
      <c r="F168" t="s">
        <v>1028</v>
      </c>
      <c r="G168" s="72" t="s">
        <v>282</v>
      </c>
      <c r="H168" s="63"/>
      <c r="J168" s="121">
        <f t="shared" ref="J168:S168" si="53">$H146 * J121</f>
        <v>1.044</v>
      </c>
      <c r="K168" s="121">
        <f t="shared" si="53"/>
        <v>1.044</v>
      </c>
      <c r="L168" s="121">
        <f t="shared" si="53"/>
        <v>1.044</v>
      </c>
      <c r="M168" s="121">
        <f t="shared" si="53"/>
        <v>1.044</v>
      </c>
      <c r="N168" s="121">
        <f t="shared" si="53"/>
        <v>1.044</v>
      </c>
      <c r="O168" s="121">
        <f t="shared" si="53"/>
        <v>1.044</v>
      </c>
      <c r="P168" s="121">
        <f t="shared" si="53"/>
        <v>0</v>
      </c>
      <c r="Q168" s="121">
        <f t="shared" si="53"/>
        <v>1.044</v>
      </c>
      <c r="R168" s="121">
        <f t="shared" si="53"/>
        <v>1.044</v>
      </c>
      <c r="S168" s="121">
        <f t="shared" si="53"/>
        <v>0</v>
      </c>
      <c r="T168" s="79"/>
      <c r="U168" s="79"/>
    </row>
    <row r="169" spans="6:23" x14ac:dyDescent="0.25">
      <c r="F169" t="s">
        <v>1029</v>
      </c>
      <c r="G169" s="72" t="s">
        <v>282</v>
      </c>
      <c r="H169" s="63"/>
      <c r="J169" s="121">
        <f t="shared" ref="J169:S169" si="54">$H147 * J122</f>
        <v>1.026</v>
      </c>
      <c r="K169" s="121">
        <f t="shared" si="54"/>
        <v>1.026</v>
      </c>
      <c r="L169" s="121">
        <f t="shared" si="54"/>
        <v>1.026</v>
      </c>
      <c r="M169" s="121">
        <f t="shared" si="54"/>
        <v>1.026</v>
      </c>
      <c r="N169" s="121">
        <f t="shared" si="54"/>
        <v>1.026</v>
      </c>
      <c r="O169" s="121">
        <f t="shared" si="54"/>
        <v>1.026</v>
      </c>
      <c r="P169" s="121">
        <f t="shared" si="54"/>
        <v>0</v>
      </c>
      <c r="Q169" s="121">
        <f t="shared" si="54"/>
        <v>1.026</v>
      </c>
      <c r="R169" s="121">
        <f t="shared" si="54"/>
        <v>0</v>
      </c>
      <c r="S169" s="121">
        <f t="shared" si="54"/>
        <v>0</v>
      </c>
      <c r="T169" s="79"/>
      <c r="U169" s="79"/>
    </row>
    <row r="170" spans="6:23" x14ac:dyDescent="0.25">
      <c r="F170" t="s">
        <v>905</v>
      </c>
      <c r="G170" s="72" t="s">
        <v>282</v>
      </c>
      <c r="H170" s="63"/>
      <c r="J170" s="121">
        <f t="shared" ref="J170:S170" si="55">$H148 * J123</f>
        <v>1.0980000000000001</v>
      </c>
      <c r="K170" s="121">
        <f t="shared" si="55"/>
        <v>1.0980000000000001</v>
      </c>
      <c r="L170" s="121">
        <f t="shared" si="55"/>
        <v>1.0980000000000001</v>
      </c>
      <c r="M170" s="121">
        <f t="shared" si="55"/>
        <v>1.0980000000000001</v>
      </c>
      <c r="N170" s="121">
        <f t="shared" si="55"/>
        <v>1.0980000000000001</v>
      </c>
      <c r="O170" s="121">
        <f t="shared" si="55"/>
        <v>1.0980000000000001</v>
      </c>
      <c r="P170" s="121">
        <f t="shared" si="55"/>
        <v>0</v>
      </c>
      <c r="Q170" s="121">
        <f t="shared" si="55"/>
        <v>1.0980000000000001</v>
      </c>
      <c r="R170" s="121">
        <f t="shared" si="55"/>
        <v>1.0980000000000001</v>
      </c>
      <c r="S170" s="121">
        <f t="shared" si="55"/>
        <v>1.0980000000000001</v>
      </c>
      <c r="T170" s="79"/>
      <c r="U170" s="79"/>
    </row>
    <row r="171" spans="6:23" x14ac:dyDescent="0.25">
      <c r="F171" t="s">
        <v>897</v>
      </c>
      <c r="G171" s="72" t="s">
        <v>282</v>
      </c>
      <c r="H171" s="63"/>
      <c r="J171" s="121">
        <f t="shared" ref="J171:S171" si="56">$H149 * J124</f>
        <v>-1.0980000000000001</v>
      </c>
      <c r="K171" s="121">
        <f t="shared" si="56"/>
        <v>-1.0980000000000001</v>
      </c>
      <c r="L171" s="121">
        <f t="shared" si="56"/>
        <v>-1.0980000000000001</v>
      </c>
      <c r="M171" s="121">
        <f t="shared" si="56"/>
        <v>-1.0980000000000001</v>
      </c>
      <c r="N171" s="121">
        <f t="shared" si="56"/>
        <v>-1.0980000000000001</v>
      </c>
      <c r="O171" s="121">
        <f t="shared" si="56"/>
        <v>-1.0980000000000001</v>
      </c>
      <c r="P171" s="121">
        <f t="shared" si="56"/>
        <v>0</v>
      </c>
      <c r="Q171" s="121">
        <f t="shared" si="56"/>
        <v>-1.0980000000000001</v>
      </c>
      <c r="R171" s="121">
        <f t="shared" si="56"/>
        <v>-1.0980000000000001</v>
      </c>
      <c r="S171" s="121">
        <f t="shared" si="56"/>
        <v>0</v>
      </c>
      <c r="T171" s="79"/>
      <c r="U171" s="79"/>
    </row>
    <row r="172" spans="6:23" x14ac:dyDescent="0.25">
      <c r="F172" t="s">
        <v>898</v>
      </c>
      <c r="G172" s="72" t="s">
        <v>282</v>
      </c>
      <c r="H172" s="63"/>
      <c r="J172" s="121">
        <f t="shared" ref="J172:S172" si="57">$H150 * J125</f>
        <v>-1.044</v>
      </c>
      <c r="K172" s="121">
        <f t="shared" si="57"/>
        <v>-1.044</v>
      </c>
      <c r="L172" s="121">
        <f t="shared" si="57"/>
        <v>-1.044</v>
      </c>
      <c r="M172" s="121">
        <f t="shared" si="57"/>
        <v>-1.044</v>
      </c>
      <c r="N172" s="121">
        <f t="shared" si="57"/>
        <v>-1.044</v>
      </c>
      <c r="O172" s="121">
        <f t="shared" si="57"/>
        <v>-1.044</v>
      </c>
      <c r="P172" s="121">
        <f t="shared" si="57"/>
        <v>0</v>
      </c>
      <c r="Q172" s="121">
        <f t="shared" si="57"/>
        <v>-1.044</v>
      </c>
      <c r="R172" s="121">
        <f t="shared" si="57"/>
        <v>0</v>
      </c>
      <c r="S172" s="121">
        <f t="shared" si="57"/>
        <v>0</v>
      </c>
      <c r="T172" s="79"/>
      <c r="U172" s="79"/>
    </row>
    <row r="173" spans="6:23" x14ac:dyDescent="0.25">
      <c r="F173" t="s">
        <v>899</v>
      </c>
      <c r="G173" s="72" t="s">
        <v>282</v>
      </c>
      <c r="H173" s="63"/>
      <c r="J173" s="121">
        <f t="shared" ref="J173:S173" si="58">$H151 * J126</f>
        <v>-1.0980000000000001</v>
      </c>
      <c r="K173" s="121">
        <f t="shared" si="58"/>
        <v>-1.0980000000000001</v>
      </c>
      <c r="L173" s="121">
        <f t="shared" si="58"/>
        <v>-1.0980000000000001</v>
      </c>
      <c r="M173" s="121">
        <f t="shared" si="58"/>
        <v>-1.0980000000000001</v>
      </c>
      <c r="N173" s="121">
        <f t="shared" si="58"/>
        <v>-1.0980000000000001</v>
      </c>
      <c r="O173" s="121">
        <f t="shared" si="58"/>
        <v>-1.0980000000000001</v>
      </c>
      <c r="P173" s="121">
        <f t="shared" si="58"/>
        <v>0</v>
      </c>
      <c r="Q173" s="121">
        <f t="shared" si="58"/>
        <v>-1.0980000000000001</v>
      </c>
      <c r="R173" s="121">
        <f t="shared" si="58"/>
        <v>-1.0980000000000001</v>
      </c>
      <c r="S173" s="121">
        <f t="shared" si="58"/>
        <v>0</v>
      </c>
      <c r="T173" s="79"/>
      <c r="U173" s="79"/>
    </row>
    <row r="174" spans="6:23" x14ac:dyDescent="0.25">
      <c r="F174" t="s">
        <v>908</v>
      </c>
      <c r="G174" s="72" t="s">
        <v>282</v>
      </c>
      <c r="H174" s="63"/>
      <c r="J174" s="121">
        <f t="shared" ref="J174:S174" si="59">$H152 * J127</f>
        <v>-1.0980000000000001</v>
      </c>
      <c r="K174" s="121">
        <f t="shared" si="59"/>
        <v>-1.0980000000000001</v>
      </c>
      <c r="L174" s="121">
        <f t="shared" si="59"/>
        <v>-1.0980000000000001</v>
      </c>
      <c r="M174" s="121">
        <f t="shared" si="59"/>
        <v>-1.0980000000000001</v>
      </c>
      <c r="N174" s="121">
        <f t="shared" si="59"/>
        <v>-1.0980000000000001</v>
      </c>
      <c r="O174" s="121">
        <f t="shared" si="59"/>
        <v>-1.0980000000000001</v>
      </c>
      <c r="P174" s="121">
        <f t="shared" si="59"/>
        <v>0</v>
      </c>
      <c r="Q174" s="121">
        <f t="shared" si="59"/>
        <v>-1.0980000000000001</v>
      </c>
      <c r="R174" s="121">
        <f t="shared" si="59"/>
        <v>-1.0980000000000001</v>
      </c>
      <c r="S174" s="121">
        <f t="shared" si="59"/>
        <v>0</v>
      </c>
      <c r="T174" s="79"/>
      <c r="U174" s="79"/>
    </row>
    <row r="175" spans="6:23" x14ac:dyDescent="0.25">
      <c r="F175" t="s">
        <v>900</v>
      </c>
      <c r="G175" s="72" t="s">
        <v>282</v>
      </c>
      <c r="H175" s="63"/>
      <c r="J175" s="121">
        <f t="shared" ref="J175:S175" si="60">$H153 * J128</f>
        <v>-1.044</v>
      </c>
      <c r="K175" s="121">
        <f t="shared" si="60"/>
        <v>-1.044</v>
      </c>
      <c r="L175" s="121">
        <f t="shared" si="60"/>
        <v>-1.044</v>
      </c>
      <c r="M175" s="121">
        <f t="shared" si="60"/>
        <v>-1.044</v>
      </c>
      <c r="N175" s="121">
        <f t="shared" si="60"/>
        <v>-1.044</v>
      </c>
      <c r="O175" s="121">
        <f t="shared" si="60"/>
        <v>-1.044</v>
      </c>
      <c r="P175" s="121">
        <f t="shared" si="60"/>
        <v>0</v>
      </c>
      <c r="Q175" s="121">
        <f t="shared" si="60"/>
        <v>-1.044</v>
      </c>
      <c r="R175" s="121">
        <f t="shared" si="60"/>
        <v>0</v>
      </c>
      <c r="S175" s="121">
        <f t="shared" si="60"/>
        <v>0</v>
      </c>
      <c r="T175" s="79"/>
      <c r="U175" s="79"/>
    </row>
    <row r="176" spans="6:23" x14ac:dyDescent="0.25">
      <c r="F176" t="s">
        <v>907</v>
      </c>
      <c r="G176" s="72" t="s">
        <v>282</v>
      </c>
      <c r="H176" s="63"/>
      <c r="J176" s="121">
        <f t="shared" ref="J176:S176" si="61">$H154 * J129</f>
        <v>-1.044</v>
      </c>
      <c r="K176" s="121">
        <f t="shared" si="61"/>
        <v>-1.044</v>
      </c>
      <c r="L176" s="121">
        <f t="shared" si="61"/>
        <v>-1.044</v>
      </c>
      <c r="M176" s="121">
        <f t="shared" si="61"/>
        <v>-1.044</v>
      </c>
      <c r="N176" s="121">
        <f t="shared" si="61"/>
        <v>-1.044</v>
      </c>
      <c r="O176" s="121">
        <f t="shared" si="61"/>
        <v>-1.044</v>
      </c>
      <c r="P176" s="121">
        <f t="shared" si="61"/>
        <v>0</v>
      </c>
      <c r="Q176" s="121">
        <f t="shared" si="61"/>
        <v>-1.044</v>
      </c>
      <c r="R176" s="121">
        <f t="shared" si="61"/>
        <v>0</v>
      </c>
      <c r="S176" s="121">
        <f t="shared" si="61"/>
        <v>0</v>
      </c>
      <c r="T176" s="79"/>
      <c r="U176" s="79"/>
    </row>
    <row r="177" spans="5:23" x14ac:dyDescent="0.25">
      <c r="F177" t="s">
        <v>901</v>
      </c>
      <c r="G177" s="72" t="s">
        <v>282</v>
      </c>
      <c r="H177" s="63"/>
      <c r="J177" s="121">
        <f t="shared" ref="J177:S177" si="62">$H155 * J130</f>
        <v>-1.026</v>
      </c>
      <c r="K177" s="121">
        <f t="shared" si="62"/>
        <v>-1.026</v>
      </c>
      <c r="L177" s="121">
        <f t="shared" si="62"/>
        <v>-1.026</v>
      </c>
      <c r="M177" s="121">
        <f t="shared" si="62"/>
        <v>-1.026</v>
      </c>
      <c r="N177" s="121">
        <f t="shared" si="62"/>
        <v>-1.026</v>
      </c>
      <c r="O177" s="121">
        <f t="shared" si="62"/>
        <v>-1.026</v>
      </c>
      <c r="P177" s="121">
        <f t="shared" si="62"/>
        <v>0</v>
      </c>
      <c r="Q177" s="121">
        <f t="shared" si="62"/>
        <v>0</v>
      </c>
      <c r="R177" s="121">
        <f t="shared" si="62"/>
        <v>0</v>
      </c>
      <c r="S177" s="121">
        <f t="shared" si="62"/>
        <v>0</v>
      </c>
      <c r="T177" s="79"/>
      <c r="U177" s="79"/>
    </row>
    <row r="178" spans="5:23" x14ac:dyDescent="0.25">
      <c r="F178" s="37" t="s">
        <v>906</v>
      </c>
      <c r="G178" s="80" t="s">
        <v>282</v>
      </c>
      <c r="H178" s="130"/>
      <c r="I178" s="37"/>
      <c r="J178" s="131">
        <f t="shared" ref="J178:S178" si="63">$H156 * J131</f>
        <v>-1.026</v>
      </c>
      <c r="K178" s="131">
        <f t="shared" si="63"/>
        <v>-1.026</v>
      </c>
      <c r="L178" s="131">
        <f t="shared" si="63"/>
        <v>-1.026</v>
      </c>
      <c r="M178" s="131">
        <f t="shared" si="63"/>
        <v>-1.026</v>
      </c>
      <c r="N178" s="131">
        <f t="shared" si="63"/>
        <v>-1.026</v>
      </c>
      <c r="O178" s="131">
        <f t="shared" si="63"/>
        <v>-1.026</v>
      </c>
      <c r="P178" s="131">
        <f t="shared" si="63"/>
        <v>0</v>
      </c>
      <c r="Q178" s="131">
        <f t="shared" si="63"/>
        <v>0</v>
      </c>
      <c r="R178" s="131">
        <f t="shared" si="63"/>
        <v>0</v>
      </c>
      <c r="S178" s="131">
        <f t="shared" si="63"/>
        <v>0</v>
      </c>
      <c r="T178" s="81"/>
      <c r="U178" s="81"/>
    </row>
    <row r="179" spans="5:23" x14ac:dyDescent="0.25">
      <c r="G179" s="13"/>
      <c r="J179" s="89"/>
      <c r="K179" s="89"/>
      <c r="L179" s="89"/>
      <c r="M179" s="89"/>
      <c r="N179" s="89"/>
      <c r="O179" s="89"/>
      <c r="P179" s="89"/>
      <c r="Q179" s="89"/>
      <c r="R179" s="89"/>
      <c r="S179" s="89"/>
      <c r="T179" s="89"/>
      <c r="U179" s="89"/>
    </row>
    <row r="180" spans="5:23" x14ac:dyDescent="0.25">
      <c r="E180" s="32" t="s">
        <v>403</v>
      </c>
      <c r="G180" s="13"/>
      <c r="I180" t="s">
        <v>153</v>
      </c>
      <c r="J180" s="89"/>
      <c r="K180" s="89"/>
      <c r="L180" s="89"/>
      <c r="M180" s="89"/>
      <c r="N180" s="89"/>
      <c r="O180" s="89"/>
      <c r="P180" s="89"/>
      <c r="Q180" s="89"/>
      <c r="R180" s="89"/>
      <c r="S180" s="89"/>
      <c r="T180" s="89"/>
      <c r="U180" s="89"/>
      <c r="W180" s="3" t="s">
        <v>408</v>
      </c>
    </row>
    <row r="181" spans="5:23" x14ac:dyDescent="0.25">
      <c r="E181" s="29" t="s">
        <v>400</v>
      </c>
      <c r="G181" s="13"/>
      <c r="J181" s="89"/>
      <c r="K181" s="89"/>
      <c r="L181" s="89"/>
      <c r="M181" s="89"/>
      <c r="N181" s="89"/>
      <c r="O181" s="89"/>
      <c r="P181" s="89"/>
      <c r="Q181" s="89"/>
      <c r="R181" s="89"/>
      <c r="S181" s="89"/>
      <c r="T181" s="89"/>
      <c r="U181" s="89"/>
    </row>
    <row r="182" spans="5:23" x14ac:dyDescent="0.25">
      <c r="F182" s="23" t="s">
        <v>893</v>
      </c>
      <c r="G182" s="78" t="s">
        <v>282</v>
      </c>
      <c r="H182" s="129"/>
      <c r="I182" s="23"/>
      <c r="J182" s="83"/>
      <c r="K182" s="83"/>
      <c r="L182" s="83"/>
      <c r="M182" s="83"/>
      <c r="N182" s="83"/>
      <c r="O182" s="83"/>
      <c r="P182" s="83"/>
      <c r="Q182" s="83"/>
      <c r="R182" s="83"/>
      <c r="S182" s="83"/>
      <c r="T182" s="83"/>
      <c r="U182" s="83"/>
    </row>
    <row r="183" spans="5:23" x14ac:dyDescent="0.25">
      <c r="F183" t="s">
        <v>895</v>
      </c>
      <c r="G183" s="72" t="s">
        <v>282</v>
      </c>
      <c r="H183" s="63"/>
      <c r="J183" s="79"/>
      <c r="K183" s="79"/>
      <c r="L183" s="79"/>
      <c r="M183" s="79"/>
      <c r="N183" s="79"/>
      <c r="O183" s="79"/>
      <c r="P183" s="79"/>
      <c r="Q183" s="79"/>
      <c r="R183" s="79"/>
      <c r="S183" s="79"/>
      <c r="T183" s="79"/>
      <c r="U183" s="79"/>
      <c r="W183" s="3"/>
    </row>
    <row r="184" spans="5:23" x14ac:dyDescent="0.25">
      <c r="F184" t="s">
        <v>894</v>
      </c>
      <c r="G184" s="72" t="s">
        <v>282</v>
      </c>
      <c r="H184" s="63"/>
      <c r="J184" s="79"/>
      <c r="K184" s="79"/>
      <c r="L184" s="79"/>
      <c r="M184" s="79"/>
      <c r="N184" s="79"/>
      <c r="O184" s="79"/>
      <c r="P184" s="79"/>
      <c r="Q184" s="79"/>
      <c r="R184" s="79"/>
      <c r="S184" s="79"/>
      <c r="T184" s="79"/>
      <c r="U184" s="79"/>
      <c r="W184" s="3"/>
    </row>
    <row r="185" spans="5:23" x14ac:dyDescent="0.25">
      <c r="F185" t="s">
        <v>896</v>
      </c>
      <c r="G185" s="72" t="s">
        <v>282</v>
      </c>
      <c r="H185" s="63"/>
      <c r="J185" s="79"/>
      <c r="K185" s="79"/>
      <c r="L185" s="79"/>
      <c r="M185" s="79"/>
      <c r="N185" s="79"/>
      <c r="O185" s="79"/>
      <c r="P185" s="79"/>
      <c r="Q185" s="79"/>
      <c r="R185" s="79"/>
      <c r="S185" s="79"/>
      <c r="T185" s="79"/>
      <c r="U185" s="79"/>
    </row>
    <row r="186" spans="5:23" x14ac:dyDescent="0.25">
      <c r="F186" t="s">
        <v>902</v>
      </c>
      <c r="G186" s="72" t="s">
        <v>282</v>
      </c>
      <c r="H186" s="63"/>
      <c r="J186" s="79"/>
      <c r="K186" s="79"/>
      <c r="L186" s="79"/>
      <c r="M186" s="79"/>
      <c r="N186" s="79"/>
      <c r="O186" s="79"/>
      <c r="P186" s="79"/>
      <c r="Q186" s="79"/>
      <c r="R186" s="79"/>
      <c r="S186" s="79"/>
      <c r="T186" s="79"/>
      <c r="U186" s="79"/>
    </row>
    <row r="187" spans="5:23" x14ac:dyDescent="0.25">
      <c r="F187" t="s">
        <v>903</v>
      </c>
      <c r="G187" s="72" t="s">
        <v>282</v>
      </c>
      <c r="H187" s="63"/>
      <c r="J187" s="79"/>
      <c r="K187" s="79"/>
      <c r="L187" s="79"/>
      <c r="M187" s="79"/>
      <c r="N187" s="79"/>
      <c r="O187" s="79"/>
      <c r="P187" s="79"/>
      <c r="Q187" s="79"/>
      <c r="R187" s="79"/>
      <c r="S187" s="79"/>
      <c r="T187" s="79"/>
      <c r="U187" s="79"/>
    </row>
    <row r="188" spans="5:23" x14ac:dyDescent="0.25">
      <c r="F188" t="s">
        <v>904</v>
      </c>
      <c r="G188" s="72" t="s">
        <v>282</v>
      </c>
      <c r="H188" s="63"/>
      <c r="J188" s="79"/>
      <c r="K188" s="79"/>
      <c r="L188" s="79"/>
      <c r="M188" s="79"/>
      <c r="N188" s="79"/>
      <c r="O188" s="79"/>
      <c r="P188" s="79"/>
      <c r="Q188" s="79"/>
      <c r="R188" s="79"/>
      <c r="S188" s="79"/>
      <c r="T188" s="79"/>
      <c r="U188" s="79"/>
    </row>
    <row r="189" spans="5:23" x14ac:dyDescent="0.25">
      <c r="F189" t="s">
        <v>1027</v>
      </c>
      <c r="G189" s="72" t="s">
        <v>282</v>
      </c>
      <c r="H189" s="63"/>
      <c r="J189" s="79"/>
      <c r="K189" s="79"/>
      <c r="L189" s="79"/>
      <c r="M189" s="79"/>
      <c r="N189" s="79"/>
      <c r="O189" s="79"/>
      <c r="P189" s="79"/>
      <c r="Q189" s="79"/>
      <c r="R189" s="79"/>
      <c r="S189" s="79"/>
      <c r="T189" s="79"/>
      <c r="U189" s="79"/>
    </row>
    <row r="190" spans="5:23" x14ac:dyDescent="0.25">
      <c r="F190" t="s">
        <v>1028</v>
      </c>
      <c r="G190" s="72" t="s">
        <v>282</v>
      </c>
      <c r="H190" s="63"/>
      <c r="J190" s="79"/>
      <c r="K190" s="79"/>
      <c r="L190" s="79"/>
      <c r="M190" s="79"/>
      <c r="N190" s="79"/>
      <c r="O190" s="79"/>
      <c r="P190" s="79"/>
      <c r="Q190" s="79"/>
      <c r="R190" s="79"/>
      <c r="S190" s="79"/>
      <c r="T190" s="79"/>
      <c r="U190" s="79"/>
    </row>
    <row r="191" spans="5:23" x14ac:dyDescent="0.25">
      <c r="F191" t="s">
        <v>1029</v>
      </c>
      <c r="G191" s="72" t="s">
        <v>282</v>
      </c>
      <c r="H191" s="63"/>
      <c r="J191" s="79"/>
      <c r="K191" s="79"/>
      <c r="L191" s="79"/>
      <c r="M191" s="79"/>
      <c r="N191" s="79"/>
      <c r="O191" s="79"/>
      <c r="P191" s="79"/>
      <c r="Q191" s="79"/>
      <c r="R191" s="79"/>
      <c r="S191" s="79"/>
      <c r="T191" s="79"/>
      <c r="U191" s="79"/>
    </row>
    <row r="192" spans="5:23" x14ac:dyDescent="0.25">
      <c r="F192" t="s">
        <v>905</v>
      </c>
      <c r="G192" s="72" t="s">
        <v>282</v>
      </c>
      <c r="H192" s="63"/>
      <c r="J192" s="79"/>
      <c r="K192" s="79"/>
      <c r="L192" s="79"/>
      <c r="M192" s="79"/>
      <c r="N192" s="79"/>
      <c r="O192" s="79"/>
      <c r="P192" s="79"/>
      <c r="Q192" s="79"/>
      <c r="R192" s="79"/>
      <c r="S192" s="79"/>
      <c r="T192" s="79"/>
      <c r="U192" s="79"/>
    </row>
    <row r="193" spans="2:44" x14ac:dyDescent="0.25">
      <c r="F193" t="s">
        <v>897</v>
      </c>
      <c r="G193" s="72" t="s">
        <v>282</v>
      </c>
      <c r="H193" s="63"/>
      <c r="J193" s="121">
        <f t="shared" ref="J193:S193" si="64">$H149 * J79</f>
        <v>-1.0980000000000001</v>
      </c>
      <c r="K193" s="121">
        <f t="shared" si="64"/>
        <v>-1.0980000000000001</v>
      </c>
      <c r="L193" s="121">
        <f t="shared" si="64"/>
        <v>-1.0980000000000001</v>
      </c>
      <c r="M193" s="121">
        <f t="shared" si="64"/>
        <v>-1.0980000000000001</v>
      </c>
      <c r="N193" s="121">
        <f t="shared" si="64"/>
        <v>-1.0980000000000001</v>
      </c>
      <c r="O193" s="121">
        <f t="shared" si="64"/>
        <v>-1.0980000000000001</v>
      </c>
      <c r="P193" s="121">
        <f t="shared" si="64"/>
        <v>0</v>
      </c>
      <c r="Q193" s="121">
        <f t="shared" si="64"/>
        <v>-1.0980000000000001</v>
      </c>
      <c r="R193" s="121">
        <f t="shared" si="64"/>
        <v>-1.0980000000000001</v>
      </c>
      <c r="S193" s="121">
        <f t="shared" si="64"/>
        <v>-1.0980000000000001</v>
      </c>
      <c r="T193" s="79"/>
      <c r="U193" s="79"/>
    </row>
    <row r="194" spans="2:44" x14ac:dyDescent="0.25">
      <c r="F194" t="s">
        <v>898</v>
      </c>
      <c r="G194" s="72" t="s">
        <v>282</v>
      </c>
      <c r="H194" s="63"/>
      <c r="J194" s="121">
        <f t="shared" ref="J194:S194" si="65">$H150 * J80</f>
        <v>-1.044</v>
      </c>
      <c r="K194" s="121">
        <f t="shared" si="65"/>
        <v>-1.044</v>
      </c>
      <c r="L194" s="121">
        <f t="shared" si="65"/>
        <v>-1.044</v>
      </c>
      <c r="M194" s="121">
        <f t="shared" si="65"/>
        <v>-1.044</v>
      </c>
      <c r="N194" s="121">
        <f t="shared" si="65"/>
        <v>-1.044</v>
      </c>
      <c r="O194" s="121">
        <f t="shared" si="65"/>
        <v>-1.044</v>
      </c>
      <c r="P194" s="121">
        <f t="shared" si="65"/>
        <v>0</v>
      </c>
      <c r="Q194" s="121">
        <f t="shared" si="65"/>
        <v>-1.044</v>
      </c>
      <c r="R194" s="121">
        <f t="shared" si="65"/>
        <v>-1.044</v>
      </c>
      <c r="S194" s="121">
        <f t="shared" si="65"/>
        <v>0</v>
      </c>
      <c r="T194" s="79"/>
      <c r="U194" s="79"/>
    </row>
    <row r="195" spans="2:44" x14ac:dyDescent="0.25">
      <c r="F195" t="s">
        <v>899</v>
      </c>
      <c r="G195" s="72" t="s">
        <v>282</v>
      </c>
      <c r="H195" s="63"/>
      <c r="J195" s="121">
        <f t="shared" ref="J195:S195" si="66">$H151 * J81</f>
        <v>-1.0980000000000001</v>
      </c>
      <c r="K195" s="121">
        <f t="shared" si="66"/>
        <v>-1.0980000000000001</v>
      </c>
      <c r="L195" s="121">
        <f t="shared" si="66"/>
        <v>-1.0980000000000001</v>
      </c>
      <c r="M195" s="121">
        <f t="shared" si="66"/>
        <v>-1.0980000000000001</v>
      </c>
      <c r="N195" s="121">
        <f t="shared" si="66"/>
        <v>-1.0980000000000001</v>
      </c>
      <c r="O195" s="121">
        <f t="shared" si="66"/>
        <v>-1.0980000000000001</v>
      </c>
      <c r="P195" s="121">
        <f t="shared" si="66"/>
        <v>0</v>
      </c>
      <c r="Q195" s="121">
        <f t="shared" si="66"/>
        <v>-1.0980000000000001</v>
      </c>
      <c r="R195" s="121">
        <f t="shared" si="66"/>
        <v>-1.0980000000000001</v>
      </c>
      <c r="S195" s="121">
        <f t="shared" si="66"/>
        <v>-1.0980000000000001</v>
      </c>
      <c r="T195" s="79"/>
      <c r="U195" s="79"/>
    </row>
    <row r="196" spans="2:44" x14ac:dyDescent="0.25">
      <c r="F196" t="s">
        <v>908</v>
      </c>
      <c r="G196" s="72" t="s">
        <v>282</v>
      </c>
      <c r="H196" s="63"/>
      <c r="J196" s="121">
        <f t="shared" ref="J196:S196" si="67">$H152 * J82</f>
        <v>-1.0980000000000001</v>
      </c>
      <c r="K196" s="121">
        <f t="shared" si="67"/>
        <v>-1.0980000000000001</v>
      </c>
      <c r="L196" s="121">
        <f t="shared" si="67"/>
        <v>-1.0980000000000001</v>
      </c>
      <c r="M196" s="121">
        <f t="shared" si="67"/>
        <v>-1.0980000000000001</v>
      </c>
      <c r="N196" s="121">
        <f t="shared" si="67"/>
        <v>-1.0980000000000001</v>
      </c>
      <c r="O196" s="121">
        <f t="shared" si="67"/>
        <v>-1.0980000000000001</v>
      </c>
      <c r="P196" s="121">
        <f t="shared" si="67"/>
        <v>0</v>
      </c>
      <c r="Q196" s="121">
        <f t="shared" si="67"/>
        <v>-1.0980000000000001</v>
      </c>
      <c r="R196" s="121">
        <f t="shared" si="67"/>
        <v>-1.0980000000000001</v>
      </c>
      <c r="S196" s="121">
        <f t="shared" si="67"/>
        <v>-1.0980000000000001</v>
      </c>
      <c r="T196" s="79"/>
      <c r="U196" s="79"/>
    </row>
    <row r="197" spans="2:44" x14ac:dyDescent="0.25">
      <c r="F197" t="s">
        <v>900</v>
      </c>
      <c r="G197" s="72" t="s">
        <v>282</v>
      </c>
      <c r="H197" s="63"/>
      <c r="J197" s="121">
        <f t="shared" ref="J197:S197" si="68">$H153 * J83</f>
        <v>-1.044</v>
      </c>
      <c r="K197" s="121">
        <f t="shared" si="68"/>
        <v>-1.044</v>
      </c>
      <c r="L197" s="121">
        <f t="shared" si="68"/>
        <v>-1.044</v>
      </c>
      <c r="M197" s="121">
        <f t="shared" si="68"/>
        <v>-1.044</v>
      </c>
      <c r="N197" s="121">
        <f t="shared" si="68"/>
        <v>-1.044</v>
      </c>
      <c r="O197" s="121">
        <f t="shared" si="68"/>
        <v>-1.044</v>
      </c>
      <c r="P197" s="121">
        <f t="shared" si="68"/>
        <v>0</v>
      </c>
      <c r="Q197" s="121">
        <f t="shared" si="68"/>
        <v>-1.044</v>
      </c>
      <c r="R197" s="121">
        <f t="shared" si="68"/>
        <v>-1.044</v>
      </c>
      <c r="S197" s="121">
        <f t="shared" si="68"/>
        <v>0</v>
      </c>
      <c r="T197" s="79"/>
      <c r="U197" s="79"/>
    </row>
    <row r="198" spans="2:44" x14ac:dyDescent="0.25">
      <c r="F198" t="s">
        <v>907</v>
      </c>
      <c r="G198" s="72" t="s">
        <v>282</v>
      </c>
      <c r="H198" s="63"/>
      <c r="J198" s="121">
        <f t="shared" ref="J198:S198" si="69">$H154 * J84</f>
        <v>-1.044</v>
      </c>
      <c r="K198" s="121">
        <f t="shared" si="69"/>
        <v>-1.044</v>
      </c>
      <c r="L198" s="121">
        <f t="shared" si="69"/>
        <v>-1.044</v>
      </c>
      <c r="M198" s="121">
        <f t="shared" si="69"/>
        <v>-1.044</v>
      </c>
      <c r="N198" s="121">
        <f t="shared" si="69"/>
        <v>-1.044</v>
      </c>
      <c r="O198" s="121">
        <f t="shared" si="69"/>
        <v>-1.044</v>
      </c>
      <c r="P198" s="121">
        <f t="shared" si="69"/>
        <v>0</v>
      </c>
      <c r="Q198" s="121">
        <f t="shared" si="69"/>
        <v>-1.044</v>
      </c>
      <c r="R198" s="121">
        <f t="shared" si="69"/>
        <v>-1.044</v>
      </c>
      <c r="S198" s="121">
        <f t="shared" si="69"/>
        <v>0</v>
      </c>
      <c r="T198" s="79"/>
      <c r="U198" s="79"/>
    </row>
    <row r="199" spans="2:44" x14ac:dyDescent="0.25">
      <c r="F199" t="s">
        <v>901</v>
      </c>
      <c r="G199" s="72" t="s">
        <v>282</v>
      </c>
      <c r="H199" s="63"/>
      <c r="J199" s="121">
        <f t="shared" ref="J199:S199" si="70">$H155 * J85</f>
        <v>-1.026</v>
      </c>
      <c r="K199" s="121">
        <f t="shared" si="70"/>
        <v>-1.026</v>
      </c>
      <c r="L199" s="121">
        <f t="shared" si="70"/>
        <v>-1.026</v>
      </c>
      <c r="M199" s="121">
        <f t="shared" si="70"/>
        <v>-1.026</v>
      </c>
      <c r="N199" s="121">
        <f t="shared" si="70"/>
        <v>-1.026</v>
      </c>
      <c r="O199" s="121">
        <f t="shared" si="70"/>
        <v>-1.026</v>
      </c>
      <c r="P199" s="121">
        <f t="shared" si="70"/>
        <v>0</v>
      </c>
      <c r="Q199" s="121">
        <f t="shared" si="70"/>
        <v>-1.026</v>
      </c>
      <c r="R199" s="121">
        <f t="shared" si="70"/>
        <v>0</v>
      </c>
      <c r="S199" s="121">
        <f t="shared" si="70"/>
        <v>0</v>
      </c>
      <c r="T199" s="79"/>
      <c r="U199" s="79"/>
    </row>
    <row r="200" spans="2:44" x14ac:dyDescent="0.25">
      <c r="F200" s="37" t="s">
        <v>906</v>
      </c>
      <c r="G200" s="80" t="s">
        <v>282</v>
      </c>
      <c r="H200" s="130"/>
      <c r="I200" s="37"/>
      <c r="J200" s="131">
        <f>$H156 * J86</f>
        <v>-1.026</v>
      </c>
      <c r="K200" s="131">
        <f t="shared" ref="K200:S200" si="71">$H156 * K86</f>
        <v>-1.026</v>
      </c>
      <c r="L200" s="131">
        <f t="shared" si="71"/>
        <v>-1.026</v>
      </c>
      <c r="M200" s="131">
        <f t="shared" si="71"/>
        <v>-1.026</v>
      </c>
      <c r="N200" s="131">
        <f t="shared" si="71"/>
        <v>-1.026</v>
      </c>
      <c r="O200" s="131">
        <f t="shared" si="71"/>
        <v>-1.026</v>
      </c>
      <c r="P200" s="131">
        <f t="shared" si="71"/>
        <v>0</v>
      </c>
      <c r="Q200" s="131">
        <f t="shared" si="71"/>
        <v>-1.026</v>
      </c>
      <c r="R200" s="131">
        <f t="shared" si="71"/>
        <v>0</v>
      </c>
      <c r="S200" s="131">
        <f t="shared" si="71"/>
        <v>0</v>
      </c>
      <c r="T200" s="81"/>
      <c r="U200" s="81"/>
    </row>
    <row r="201" spans="2:44" x14ac:dyDescent="0.25">
      <c r="G201" s="13"/>
    </row>
    <row r="202" spans="2:44" x14ac:dyDescent="0.25">
      <c r="B202" s="30" t="s">
        <v>230</v>
      </c>
      <c r="C202" s="30"/>
      <c r="D202" s="105"/>
      <c r="E202" s="105"/>
      <c r="F202" s="105"/>
      <c r="G202" s="132"/>
      <c r="H202" s="105"/>
      <c r="I202" s="105"/>
      <c r="J202" s="105"/>
      <c r="K202" s="105"/>
      <c r="L202" s="105"/>
      <c r="M202" s="105"/>
      <c r="N202" s="105"/>
      <c r="O202" s="105"/>
      <c r="P202" s="105"/>
      <c r="Q202" s="105"/>
      <c r="R202" s="105"/>
      <c r="S202" s="105"/>
      <c r="T202" s="105"/>
      <c r="U202" s="105"/>
      <c r="V202" s="105"/>
      <c r="W202" s="105"/>
      <c r="X202" s="105"/>
      <c r="Y202" s="105"/>
      <c r="Z202" s="105"/>
      <c r="AA202" s="105"/>
      <c r="AB202" s="105"/>
      <c r="AC202" s="105"/>
      <c r="AD202" s="105"/>
      <c r="AE202" s="105"/>
      <c r="AF202" s="105"/>
      <c r="AG202" s="105"/>
      <c r="AH202" s="105"/>
      <c r="AI202" s="105"/>
      <c r="AJ202" s="105"/>
      <c r="AK202" s="105"/>
      <c r="AL202" s="105"/>
      <c r="AM202" s="105"/>
      <c r="AN202" s="105"/>
      <c r="AO202" s="105"/>
      <c r="AP202" s="105"/>
      <c r="AQ202" s="105"/>
      <c r="AR202" s="105"/>
    </row>
    <row r="203" spans="2:44" x14ac:dyDescent="0.25">
      <c r="G203" s="13"/>
    </row>
    <row r="204" spans="2:44" x14ac:dyDescent="0.25">
      <c r="E204" t="s">
        <v>231</v>
      </c>
      <c r="G204" s="6" t="s">
        <v>54</v>
      </c>
      <c r="H204" s="26">
        <f t="array" ref="H204">SUM(IF(ISERROR(H19:W202), 1))</f>
        <v>0</v>
      </c>
    </row>
    <row r="206" spans="2:44" x14ac:dyDescent="0.25">
      <c r="B206" s="30" t="s">
        <v>105</v>
      </c>
      <c r="C206" s="30"/>
      <c r="D206" s="30"/>
      <c r="E206" s="30"/>
      <c r="F206" s="30"/>
      <c r="G206" s="30"/>
      <c r="H206" s="30"/>
      <c r="I206" s="30"/>
      <c r="J206" s="30"/>
      <c r="K206" s="133"/>
      <c r="L206" s="133"/>
      <c r="M206" s="133"/>
      <c r="N206" s="133"/>
      <c r="O206" s="133"/>
      <c r="P206" s="133"/>
      <c r="Q206" s="133"/>
      <c r="R206" s="133"/>
      <c r="S206" s="133"/>
      <c r="T206" s="133"/>
      <c r="U206" s="30"/>
      <c r="V206" s="30"/>
      <c r="W206" s="30"/>
    </row>
  </sheetData>
  <sheetProtection sheet="1" objects="1" formatCells="0" formatColumns="0" formatRows="0" sort="0" autoFilter="0"/>
  <conditionalFormatting sqref="H204">
    <cfRule type="cellIs" dxfId="171" priority="2" operator="greaterThan">
      <formula>0</formula>
    </cfRule>
  </conditionalFormatting>
  <conditionalFormatting sqref="A4:XFD4">
    <cfRule type="expression" dxfId="170" priority="1">
      <formula>LEFT($A$4,1) &lt;&gt; "0"</formula>
    </cfRule>
  </conditionalFormatting>
  <dataValidations disablePrompts="1" count="1">
    <dataValidation type="decimal" allowBlank="1" showInputMessage="1" showErrorMessage="1" errorTitle="Invalid diversity allowance" error="Invalid diversity allowance (negative number or unused cell)." sqref="H37" xr:uid="{00000000-0002-0000-0A00-000000000000}">
      <formula1>0</formula1>
      <formula2>4</formula2>
    </dataValidation>
  </dataValidations>
  <hyperlinks>
    <hyperlink ref="B5:F5" location="'Model map'!A1" display="Click here to return to model map" xr:uid="{00000000-0004-0000-0A00-000000000000}"/>
  </hyperlinks>
  <pageMargins left="0.7" right="0.7" top="0.75" bottom="0.75" header="0.3" footer="0.3"/>
  <pageSetup paperSize="9" fitToHeight="0" orientation="portrait" r:id="rId1"/>
  <headerFooter>
    <oddHeader>&amp;L&amp;A&amp;C&amp;R&amp;P of &amp;N</oddHeader>
    <oddFooter>&amp;F</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5">
    <tabColor theme="4" tint="0.59999389629810485"/>
    <pageSetUpPr fitToPage="1"/>
  </sheetPr>
  <dimension ref="A1:KG78"/>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42" width="17" hidden="1" customWidth="1"/>
    <col min="43" max="43" width="2.42578125" hidden="1" customWidth="1"/>
    <col min="44" max="44" width="18.42578125" hidden="1" customWidth="1"/>
    <col min="45" max="45" width="4.42578125" hidden="1" customWidth="1"/>
    <col min="46" max="293" width="24.5703125" hidden="1" customWidth="1"/>
    <col min="294" max="16384" width="8.7109375" hidden="1"/>
  </cols>
  <sheetData>
    <row r="1" spans="1:23" s="1" customFormat="1" x14ac:dyDescent="0.25">
      <c r="A1" s="1" t="str">
        <f ca="1">MID(CELL("filename",A1),FIND("]",CELL("filename",A1))+1,255)</f>
        <v>Customer contributions</v>
      </c>
    </row>
    <row r="2" spans="1:23" s="1" customFormat="1" x14ac:dyDescent="0.25">
      <c r="A2" s="1" t="str">
        <f>Cover!D21&amp;" - "&amp;Cover!D23</f>
        <v>SP Distribution - Two</v>
      </c>
    </row>
    <row r="3" spans="1:23" s="5" customFormat="1" x14ac:dyDescent="0.25">
      <c r="A3" s="5" t="str">
        <f>Cover!D2&amp;" - "&amp;Cover!D8&amp;" v"&amp;Cover!D10&amp;" - "&amp;Cover!D19</f>
        <v>CDCM charging model - Release for charge setting v6 - 2021/22</v>
      </c>
    </row>
    <row r="4" spans="1:23" x14ac:dyDescent="0.25">
      <c r="A4" s="12" t="str">
        <f>H76 &amp; IF(H76 = 1, " issue", " issues") &amp;" identified in checks on this sheet"</f>
        <v>0 issues identified in checks on this sheet</v>
      </c>
      <c r="B4" s="13"/>
      <c r="C4" s="13"/>
      <c r="D4" s="13"/>
      <c r="E4" s="13"/>
      <c r="F4" s="13"/>
      <c r="G4" s="13"/>
      <c r="H4" s="14"/>
      <c r="I4" s="14"/>
      <c r="J4" s="13"/>
    </row>
    <row r="5" spans="1:23" x14ac:dyDescent="0.25">
      <c r="B5" s="59" t="s">
        <v>141</v>
      </c>
      <c r="C5" s="60"/>
      <c r="D5" s="60"/>
      <c r="E5" s="60"/>
      <c r="F5" s="60"/>
      <c r="G5" s="61" t="s">
        <v>142</v>
      </c>
      <c r="H5" s="62" t="s">
        <v>143</v>
      </c>
      <c r="W5" s="61" t="s">
        <v>144</v>
      </c>
    </row>
    <row r="7" spans="1:23" x14ac:dyDescent="0.25">
      <c r="B7" s="30" t="s">
        <v>9</v>
      </c>
      <c r="C7" s="30"/>
      <c r="D7" s="30"/>
      <c r="E7" s="30"/>
      <c r="F7" s="30"/>
      <c r="G7" s="30"/>
      <c r="H7" s="30"/>
      <c r="I7" s="30"/>
      <c r="J7" s="30"/>
      <c r="K7" s="30"/>
      <c r="L7" s="30"/>
      <c r="M7" s="30"/>
      <c r="N7" s="30"/>
      <c r="O7" s="30"/>
      <c r="P7" s="30"/>
      <c r="Q7" s="30"/>
      <c r="R7" s="30"/>
      <c r="S7" s="30"/>
      <c r="T7" s="30"/>
      <c r="U7" s="30"/>
      <c r="V7" s="30"/>
      <c r="W7" s="30"/>
    </row>
    <row r="9" spans="1:23" x14ac:dyDescent="0.25">
      <c r="C9" s="29" t="s">
        <v>409</v>
      </c>
    </row>
    <row r="10" spans="1:23" x14ac:dyDescent="0.25">
      <c r="C10" s="29" t="s">
        <v>410</v>
      </c>
    </row>
    <row r="12" spans="1:23" x14ac:dyDescent="0.25">
      <c r="B12" s="30" t="s">
        <v>65</v>
      </c>
      <c r="C12" s="30"/>
      <c r="D12" s="30"/>
      <c r="E12" s="30"/>
      <c r="F12" s="30"/>
      <c r="G12" s="30"/>
      <c r="H12" s="30"/>
      <c r="I12" s="30"/>
      <c r="J12" s="30"/>
      <c r="K12" s="30"/>
      <c r="L12" s="30"/>
      <c r="M12" s="30"/>
      <c r="N12" s="30"/>
      <c r="O12" s="30"/>
      <c r="P12" s="30"/>
      <c r="Q12" s="30"/>
      <c r="R12" s="30"/>
      <c r="S12" s="30"/>
      <c r="T12" s="30"/>
      <c r="U12" s="30"/>
      <c r="V12" s="30"/>
      <c r="W12" s="30"/>
    </row>
    <row r="14" spans="1:23" x14ac:dyDescent="0.25">
      <c r="C14" s="29" t="s">
        <v>411</v>
      </c>
    </row>
    <row r="16" spans="1:23" x14ac:dyDescent="0.25">
      <c r="C16" s="31" t="str">
        <f ca="1">INDEX('Version control'!$H$34:$H$57,MATCH($A$1,'Version control'!$F$34:$F$57,0),1)&amp;"-A: Network use factors"</f>
        <v>Section 103-A: Network use factors</v>
      </c>
      <c r="D16" s="31"/>
      <c r="E16" s="31"/>
      <c r="F16" s="31"/>
      <c r="G16" s="31"/>
      <c r="H16" s="31"/>
      <c r="I16" s="31"/>
      <c r="J16" s="31"/>
      <c r="K16" s="31"/>
      <c r="L16" s="31"/>
      <c r="M16" s="31"/>
      <c r="N16" s="31"/>
      <c r="O16" s="31"/>
      <c r="P16" s="31"/>
      <c r="Q16" s="31"/>
      <c r="R16" s="31"/>
      <c r="S16" s="31"/>
      <c r="T16" s="31"/>
      <c r="U16" s="31"/>
      <c r="V16" s="31"/>
      <c r="W16" s="31"/>
    </row>
    <row r="18" spans="5:23" x14ac:dyDescent="0.25">
      <c r="E18" s="32" t="s">
        <v>179</v>
      </c>
      <c r="H18" s="3"/>
      <c r="I18" s="3" t="s">
        <v>153</v>
      </c>
      <c r="J18" s="3"/>
      <c r="K18" s="3"/>
      <c r="L18" s="3"/>
      <c r="M18" s="3"/>
      <c r="N18" s="3"/>
      <c r="O18" s="3"/>
      <c r="P18" s="3"/>
      <c r="Q18" s="3"/>
      <c r="R18" s="3"/>
      <c r="S18" s="3"/>
      <c r="T18" s="3"/>
      <c r="U18" s="3"/>
      <c r="W18" s="3" t="s">
        <v>180</v>
      </c>
    </row>
    <row r="19" spans="5:23" x14ac:dyDescent="0.25">
      <c r="E19" s="29" t="s">
        <v>181</v>
      </c>
      <c r="H19" s="3"/>
      <c r="I19" s="3"/>
      <c r="J19" s="3"/>
      <c r="K19" s="3"/>
      <c r="L19" s="3"/>
      <c r="M19" s="3"/>
      <c r="N19" s="3"/>
      <c r="O19" s="3"/>
      <c r="P19" s="3"/>
      <c r="Q19" s="3"/>
      <c r="R19" s="3"/>
      <c r="S19" s="3"/>
      <c r="T19" s="3"/>
      <c r="U19" s="3"/>
      <c r="W19" s="3"/>
    </row>
    <row r="20" spans="5:23" x14ac:dyDescent="0.25">
      <c r="F20" s="134"/>
      <c r="G20" s="134"/>
      <c r="H20" s="135"/>
      <c r="I20" s="135"/>
      <c r="J20" s="136" t="s">
        <v>182</v>
      </c>
      <c r="K20" s="136" t="s">
        <v>183</v>
      </c>
      <c r="L20" s="136" t="s">
        <v>184</v>
      </c>
      <c r="M20" s="136" t="s">
        <v>185</v>
      </c>
      <c r="O20" s="3"/>
      <c r="P20" s="3"/>
      <c r="Q20" s="3"/>
      <c r="R20" s="3"/>
      <c r="S20" s="3"/>
      <c r="T20" s="3"/>
      <c r="U20" s="3"/>
    </row>
    <row r="21" spans="5:23" x14ac:dyDescent="0.25">
      <c r="F21" s="28" t="s">
        <v>893</v>
      </c>
      <c r="G21" s="13" t="s">
        <v>175</v>
      </c>
      <c r="H21" s="3"/>
      <c r="I21" s="3"/>
      <c r="J21" s="137">
        <f t="array" ref="J21:M39">TRANSPOSE('Fixed inputs'!J53:AB56)</f>
        <v>0</v>
      </c>
      <c r="K21" s="137">
        <v>0</v>
      </c>
      <c r="L21" s="137">
        <v>0</v>
      </c>
      <c r="M21" s="137">
        <v>1</v>
      </c>
      <c r="S21" s="3"/>
      <c r="T21" s="3"/>
      <c r="U21" s="3"/>
      <c r="W21" s="3"/>
    </row>
    <row r="22" spans="5:23" x14ac:dyDescent="0.25">
      <c r="F22" s="28" t="s">
        <v>895</v>
      </c>
      <c r="G22" s="13" t="s">
        <v>175</v>
      </c>
      <c r="H22" s="3"/>
      <c r="I22" s="3"/>
      <c r="J22" s="137">
        <v>0</v>
      </c>
      <c r="K22" s="137">
        <v>0</v>
      </c>
      <c r="L22" s="137">
        <v>0</v>
      </c>
      <c r="M22" s="137">
        <v>1</v>
      </c>
      <c r="S22" s="3"/>
      <c r="T22" s="3"/>
      <c r="U22" s="3"/>
      <c r="W22" s="3"/>
    </row>
    <row r="23" spans="5:23" x14ac:dyDescent="0.25">
      <c r="F23" s="28" t="s">
        <v>894</v>
      </c>
      <c r="G23" s="13" t="s">
        <v>175</v>
      </c>
      <c r="H23" s="3"/>
      <c r="I23" s="3"/>
      <c r="J23" s="137">
        <v>0</v>
      </c>
      <c r="K23" s="137">
        <v>0</v>
      </c>
      <c r="L23" s="137">
        <v>0</v>
      </c>
      <c r="M23" s="137">
        <v>1</v>
      </c>
      <c r="S23" s="3"/>
      <c r="T23" s="3"/>
      <c r="U23" s="3"/>
      <c r="W23" s="3"/>
    </row>
    <row r="24" spans="5:23" x14ac:dyDescent="0.25">
      <c r="F24" s="28" t="s">
        <v>896</v>
      </c>
      <c r="G24" s="13" t="s">
        <v>175</v>
      </c>
      <c r="H24" s="3"/>
      <c r="I24" s="3"/>
      <c r="J24" s="137">
        <v>0</v>
      </c>
      <c r="K24" s="137">
        <v>0</v>
      </c>
      <c r="L24" s="137">
        <v>0</v>
      </c>
      <c r="M24" s="137">
        <v>1</v>
      </c>
      <c r="S24" s="3"/>
      <c r="T24" s="3"/>
      <c r="U24" s="3"/>
      <c r="W24" s="3"/>
    </row>
    <row r="25" spans="5:23" x14ac:dyDescent="0.25">
      <c r="F25" s="28" t="s">
        <v>902</v>
      </c>
      <c r="G25" s="13" t="s">
        <v>175</v>
      </c>
      <c r="H25" s="3"/>
      <c r="I25" s="3"/>
      <c r="J25" s="137">
        <v>0</v>
      </c>
      <c r="K25" s="137">
        <v>0</v>
      </c>
      <c r="L25" s="137">
        <v>0</v>
      </c>
      <c r="M25" s="137">
        <v>1</v>
      </c>
      <c r="S25" s="3"/>
      <c r="T25" s="3"/>
      <c r="U25" s="3"/>
      <c r="W25" s="3"/>
    </row>
    <row r="26" spans="5:23" x14ac:dyDescent="0.25">
      <c r="F26" s="28" t="s">
        <v>903</v>
      </c>
      <c r="G26" s="13" t="s">
        <v>175</v>
      </c>
      <c r="H26" s="3"/>
      <c r="I26" s="3"/>
      <c r="J26" s="137">
        <v>0</v>
      </c>
      <c r="K26" s="137">
        <v>0</v>
      </c>
      <c r="L26" s="137">
        <v>1</v>
      </c>
      <c r="M26" s="137">
        <v>0</v>
      </c>
      <c r="S26" s="3"/>
      <c r="T26" s="3"/>
      <c r="U26" s="3"/>
      <c r="W26" s="3"/>
    </row>
    <row r="27" spans="5:23" x14ac:dyDescent="0.25">
      <c r="F27" s="28" t="s">
        <v>904</v>
      </c>
      <c r="G27" s="13" t="s">
        <v>175</v>
      </c>
      <c r="H27" s="3"/>
      <c r="I27" s="3"/>
      <c r="J27" s="137">
        <v>0</v>
      </c>
      <c r="K27" s="137">
        <v>1</v>
      </c>
      <c r="L27" s="137">
        <v>0</v>
      </c>
      <c r="M27" s="137">
        <v>0</v>
      </c>
      <c r="S27" s="3"/>
      <c r="T27" s="3"/>
      <c r="U27" s="3"/>
      <c r="W27" s="3"/>
    </row>
    <row r="28" spans="5:23" x14ac:dyDescent="0.25">
      <c r="F28" s="28" t="s">
        <v>1027</v>
      </c>
      <c r="G28" s="13" t="s">
        <v>175</v>
      </c>
      <c r="H28" s="3"/>
      <c r="I28" s="3"/>
      <c r="J28" s="137">
        <v>0</v>
      </c>
      <c r="K28" s="137">
        <v>0</v>
      </c>
      <c r="L28" s="137">
        <v>0</v>
      </c>
      <c r="M28" s="137">
        <v>1</v>
      </c>
      <c r="S28" s="3"/>
      <c r="T28" s="3"/>
      <c r="U28" s="3"/>
      <c r="W28" s="3"/>
    </row>
    <row r="29" spans="5:23" x14ac:dyDescent="0.25">
      <c r="F29" s="28" t="s">
        <v>1028</v>
      </c>
      <c r="G29" s="13" t="s">
        <v>175</v>
      </c>
      <c r="H29" s="3"/>
      <c r="I29" s="3"/>
      <c r="J29" s="137">
        <v>0</v>
      </c>
      <c r="K29" s="137">
        <v>0</v>
      </c>
      <c r="L29" s="137">
        <v>1</v>
      </c>
      <c r="M29" s="137">
        <v>0</v>
      </c>
      <c r="S29" s="3"/>
      <c r="T29" s="3"/>
      <c r="U29" s="3"/>
      <c r="W29" s="3"/>
    </row>
    <row r="30" spans="5:23" x14ac:dyDescent="0.25">
      <c r="F30" s="28" t="s">
        <v>1029</v>
      </c>
      <c r="G30" s="13" t="s">
        <v>175</v>
      </c>
      <c r="H30" s="3"/>
      <c r="I30" s="3"/>
      <c r="J30" s="137">
        <v>0</v>
      </c>
      <c r="K30" s="137">
        <v>1</v>
      </c>
      <c r="L30" s="137">
        <v>0</v>
      </c>
      <c r="M30" s="137">
        <v>0</v>
      </c>
      <c r="S30" s="3"/>
      <c r="T30" s="3"/>
      <c r="U30" s="3"/>
      <c r="W30" s="3"/>
    </row>
    <row r="31" spans="5:23" x14ac:dyDescent="0.25">
      <c r="F31" s="28" t="s">
        <v>905</v>
      </c>
      <c r="G31" s="13" t="s">
        <v>175</v>
      </c>
      <c r="H31" s="3"/>
      <c r="I31" s="3"/>
      <c r="J31" s="137">
        <v>0</v>
      </c>
      <c r="K31" s="137">
        <v>0</v>
      </c>
      <c r="L31" s="137">
        <v>0</v>
      </c>
      <c r="M31" s="137">
        <v>1</v>
      </c>
      <c r="S31" s="3"/>
      <c r="T31" s="3"/>
      <c r="U31" s="3"/>
      <c r="W31" s="3"/>
    </row>
    <row r="32" spans="5:23" x14ac:dyDescent="0.25">
      <c r="F32" s="28" t="s">
        <v>897</v>
      </c>
      <c r="G32" s="13" t="s">
        <v>175</v>
      </c>
      <c r="H32" s="3"/>
      <c r="I32" s="3"/>
      <c r="J32" s="137">
        <v>0</v>
      </c>
      <c r="K32" s="137">
        <v>0</v>
      </c>
      <c r="L32" s="137">
        <v>0</v>
      </c>
      <c r="M32" s="137">
        <v>1</v>
      </c>
      <c r="S32" s="3"/>
      <c r="T32" s="3"/>
      <c r="U32" s="3"/>
      <c r="W32" s="3"/>
    </row>
    <row r="33" spans="3:23" x14ac:dyDescent="0.25">
      <c r="F33" s="28" t="s">
        <v>898</v>
      </c>
      <c r="G33" s="13" t="s">
        <v>175</v>
      </c>
      <c r="H33" s="3"/>
      <c r="I33" s="3"/>
      <c r="J33" s="137">
        <v>0</v>
      </c>
      <c r="K33" s="137">
        <v>0</v>
      </c>
      <c r="L33" s="137">
        <v>1</v>
      </c>
      <c r="M33" s="137">
        <v>0</v>
      </c>
      <c r="S33" s="3"/>
      <c r="T33" s="3"/>
      <c r="U33" s="3"/>
      <c r="W33" s="3"/>
    </row>
    <row r="34" spans="3:23" x14ac:dyDescent="0.25">
      <c r="F34" s="28" t="s">
        <v>899</v>
      </c>
      <c r="G34" s="13" t="s">
        <v>175</v>
      </c>
      <c r="H34" s="3"/>
      <c r="I34" s="3"/>
      <c r="J34" s="137">
        <v>0</v>
      </c>
      <c r="K34" s="137">
        <v>0</v>
      </c>
      <c r="L34" s="137">
        <v>0</v>
      </c>
      <c r="M34" s="137">
        <v>1</v>
      </c>
      <c r="S34" s="3"/>
      <c r="T34" s="3"/>
      <c r="U34" s="3"/>
      <c r="W34" s="3"/>
    </row>
    <row r="35" spans="3:23" x14ac:dyDescent="0.25">
      <c r="F35" s="28" t="s">
        <v>908</v>
      </c>
      <c r="G35" s="13" t="s">
        <v>175</v>
      </c>
      <c r="H35" s="3"/>
      <c r="I35" s="3"/>
      <c r="J35" s="137">
        <v>0</v>
      </c>
      <c r="K35" s="137">
        <v>0</v>
      </c>
      <c r="L35" s="137">
        <v>0</v>
      </c>
      <c r="M35" s="137">
        <v>1</v>
      </c>
      <c r="S35" s="3"/>
      <c r="T35" s="3"/>
      <c r="U35" s="3"/>
      <c r="W35" s="3"/>
    </row>
    <row r="36" spans="3:23" x14ac:dyDescent="0.25">
      <c r="F36" s="28" t="s">
        <v>900</v>
      </c>
      <c r="G36" s="13" t="s">
        <v>175</v>
      </c>
      <c r="H36" s="3"/>
      <c r="I36" s="3"/>
      <c r="J36" s="137">
        <v>0</v>
      </c>
      <c r="K36" s="137">
        <v>0</v>
      </c>
      <c r="L36" s="137">
        <v>1</v>
      </c>
      <c r="M36" s="137">
        <v>0</v>
      </c>
      <c r="S36" s="3"/>
      <c r="T36" s="3"/>
      <c r="U36" s="3"/>
      <c r="W36" s="3"/>
    </row>
    <row r="37" spans="3:23" x14ac:dyDescent="0.25">
      <c r="F37" s="28" t="s">
        <v>907</v>
      </c>
      <c r="G37" s="13" t="s">
        <v>175</v>
      </c>
      <c r="H37" s="3"/>
      <c r="I37" s="3"/>
      <c r="J37" s="137">
        <v>0</v>
      </c>
      <c r="K37" s="137">
        <v>0</v>
      </c>
      <c r="L37" s="137">
        <v>1</v>
      </c>
      <c r="M37" s="137">
        <v>0</v>
      </c>
      <c r="S37" s="3"/>
      <c r="T37" s="3"/>
      <c r="U37" s="3"/>
      <c r="W37" s="3"/>
    </row>
    <row r="38" spans="3:23" x14ac:dyDescent="0.25">
      <c r="F38" s="28" t="s">
        <v>901</v>
      </c>
      <c r="G38" s="13" t="s">
        <v>175</v>
      </c>
      <c r="H38" s="3"/>
      <c r="I38" s="3"/>
      <c r="J38" s="137">
        <v>0</v>
      </c>
      <c r="K38" s="137">
        <v>1</v>
      </c>
      <c r="L38" s="137">
        <v>0</v>
      </c>
      <c r="M38" s="137">
        <v>0</v>
      </c>
      <c r="S38" s="3"/>
      <c r="T38" s="3"/>
      <c r="U38" s="3"/>
      <c r="W38" s="3"/>
    </row>
    <row r="39" spans="3:23" x14ac:dyDescent="0.25">
      <c r="F39" s="67" t="s">
        <v>906</v>
      </c>
      <c r="G39" s="86" t="s">
        <v>175</v>
      </c>
      <c r="H39" s="76"/>
      <c r="I39" s="76"/>
      <c r="J39" s="138">
        <v>0</v>
      </c>
      <c r="K39" s="138">
        <v>1</v>
      </c>
      <c r="L39" s="138">
        <v>0</v>
      </c>
      <c r="M39" s="138">
        <v>0</v>
      </c>
      <c r="S39" s="3"/>
      <c r="T39" s="3"/>
      <c r="U39" s="3"/>
      <c r="W39" s="3"/>
    </row>
    <row r="40" spans="3:23" x14ac:dyDescent="0.25">
      <c r="H40" s="3"/>
      <c r="I40" s="3"/>
      <c r="J40" s="3"/>
      <c r="K40" s="3"/>
      <c r="L40" s="3"/>
      <c r="M40" s="3"/>
      <c r="N40" s="3"/>
      <c r="O40" s="3"/>
      <c r="P40" s="3"/>
      <c r="Q40" s="3"/>
      <c r="R40" s="3"/>
      <c r="S40" s="3"/>
      <c r="T40" s="3"/>
      <c r="U40" s="3"/>
      <c r="W40" s="3"/>
    </row>
    <row r="41" spans="3:23" x14ac:dyDescent="0.25">
      <c r="C41" s="31" t="str">
        <f ca="1">INDEX('Version control'!$H$34:$H$57,MATCH($A$1,'Version control'!$F$34:$F$57,0),1)&amp;"-B: Customer contributions"</f>
        <v>Section 103-B: Customer contributions</v>
      </c>
      <c r="D41" s="31"/>
      <c r="E41" s="31"/>
      <c r="F41" s="31"/>
      <c r="G41" s="31"/>
      <c r="H41" s="31"/>
      <c r="I41" s="31"/>
      <c r="J41" s="31"/>
      <c r="K41" s="31"/>
      <c r="L41" s="31"/>
      <c r="M41" s="31"/>
      <c r="N41" s="31"/>
      <c r="O41" s="31"/>
      <c r="P41" s="31"/>
      <c r="Q41" s="31"/>
      <c r="R41" s="31"/>
      <c r="S41" s="31"/>
      <c r="T41" s="31"/>
      <c r="U41" s="31"/>
      <c r="V41" s="31"/>
      <c r="W41" s="31"/>
    </row>
    <row r="43" spans="3:23" x14ac:dyDescent="0.25">
      <c r="E43" s="32" t="s">
        <v>412</v>
      </c>
      <c r="H43" s="3"/>
      <c r="I43" s="3" t="s">
        <v>153</v>
      </c>
      <c r="J43" s="3"/>
      <c r="K43" s="3"/>
      <c r="L43" s="3"/>
      <c r="M43" s="3"/>
      <c r="N43" s="3"/>
      <c r="O43" s="3"/>
      <c r="P43" s="3"/>
      <c r="Q43" s="3"/>
      <c r="R43" s="3"/>
      <c r="S43" s="3"/>
      <c r="T43" s="3"/>
      <c r="U43" s="3"/>
      <c r="W43" s="3" t="s">
        <v>413</v>
      </c>
    </row>
    <row r="44" spans="3:23" x14ac:dyDescent="0.25">
      <c r="E44" s="29" t="s">
        <v>414</v>
      </c>
      <c r="H44" s="3"/>
      <c r="I44" s="3"/>
      <c r="J44" s="3"/>
      <c r="K44" s="3"/>
      <c r="L44" s="3"/>
      <c r="M44" s="3"/>
      <c r="N44" s="3"/>
      <c r="O44" s="3"/>
      <c r="P44" s="3"/>
      <c r="Q44" s="3"/>
      <c r="R44" s="3"/>
      <c r="S44" s="3"/>
      <c r="T44" s="3"/>
      <c r="U44" s="3"/>
      <c r="W44" s="3"/>
    </row>
    <row r="45" spans="3:23" x14ac:dyDescent="0.25">
      <c r="E45" s="32"/>
      <c r="F45" s="139"/>
      <c r="G45" s="139"/>
      <c r="H45" s="139"/>
      <c r="I45" s="139"/>
      <c r="J45" s="139" t="s">
        <v>188</v>
      </c>
      <c r="K45" s="140" t="s">
        <v>190</v>
      </c>
      <c r="L45" s="140" t="s">
        <v>191</v>
      </c>
      <c r="M45" s="140" t="s">
        <v>192</v>
      </c>
      <c r="N45" s="140" t="s">
        <v>193</v>
      </c>
      <c r="O45" s="140" t="s">
        <v>194</v>
      </c>
      <c r="P45" s="140" t="s">
        <v>195</v>
      </c>
      <c r="Q45" s="140" t="s">
        <v>196</v>
      </c>
      <c r="R45" s="140" t="s">
        <v>197</v>
      </c>
      <c r="S45" s="140" t="s">
        <v>198</v>
      </c>
      <c r="T45" s="140" t="s">
        <v>375</v>
      </c>
      <c r="U45" s="140" t="s">
        <v>376</v>
      </c>
    </row>
    <row r="46" spans="3:23" x14ac:dyDescent="0.25">
      <c r="F46" s="28" t="s">
        <v>185</v>
      </c>
      <c r="G46" s="72" t="s">
        <v>166</v>
      </c>
      <c r="H46" s="3"/>
      <c r="I46" s="3"/>
      <c r="J46" s="66"/>
      <c r="K46" s="66"/>
      <c r="L46" s="25">
        <f>'Inputs by network level'!L26</f>
        <v>0</v>
      </c>
      <c r="M46" s="25">
        <f>'Inputs by network level'!M26</f>
        <v>0</v>
      </c>
      <c r="N46" s="25">
        <f>'Inputs by network level'!N26</f>
        <v>0</v>
      </c>
      <c r="O46" s="25">
        <f>'Inputs by network level'!O26</f>
        <v>0</v>
      </c>
      <c r="P46" s="25">
        <f>'Inputs by network level'!P26</f>
        <v>0</v>
      </c>
      <c r="Q46" s="25">
        <f>'Inputs by network level'!Q26</f>
        <v>0.20065197841726601</v>
      </c>
      <c r="R46" s="25">
        <f>'Inputs by network level'!R26</f>
        <v>0.26968503937007898</v>
      </c>
      <c r="S46" s="25">
        <f>'Inputs by network level'!S26</f>
        <v>0.92371773930088197</v>
      </c>
      <c r="T46" s="66"/>
      <c r="U46" s="66"/>
      <c r="W46" s="3"/>
    </row>
    <row r="47" spans="3:23" x14ac:dyDescent="0.25">
      <c r="F47" s="28" t="s">
        <v>184</v>
      </c>
      <c r="G47" s="72" t="s">
        <v>166</v>
      </c>
      <c r="H47" s="3"/>
      <c r="I47" s="3"/>
      <c r="J47" s="66"/>
      <c r="K47" s="66"/>
      <c r="L47" s="25">
        <f>'Inputs by network level'!L27</f>
        <v>0</v>
      </c>
      <c r="M47" s="25">
        <f>'Inputs by network level'!M27</f>
        <v>0</v>
      </c>
      <c r="N47" s="25">
        <f>'Inputs by network level'!N27</f>
        <v>0</v>
      </c>
      <c r="O47" s="25">
        <f>'Inputs by network level'!O27</f>
        <v>0</v>
      </c>
      <c r="P47" s="25">
        <f>'Inputs by network level'!P27</f>
        <v>0</v>
      </c>
      <c r="Q47" s="25">
        <f>'Inputs by network level'!Q27</f>
        <v>0.20065197841726601</v>
      </c>
      <c r="R47" s="25">
        <f>'Inputs by network level'!R27</f>
        <v>0.26968503937007898</v>
      </c>
      <c r="S47" s="25">
        <f>'Inputs by network level'!S27</f>
        <v>0</v>
      </c>
      <c r="T47" s="66"/>
      <c r="U47" s="66"/>
      <c r="W47" s="3"/>
    </row>
    <row r="48" spans="3:23" x14ac:dyDescent="0.25">
      <c r="F48" s="28" t="s">
        <v>183</v>
      </c>
      <c r="G48" s="72" t="s">
        <v>166</v>
      </c>
      <c r="H48" s="3"/>
      <c r="I48" s="3"/>
      <c r="J48" s="66"/>
      <c r="K48" s="66"/>
      <c r="L48" s="25">
        <f>'Inputs by network level'!L28</f>
        <v>0</v>
      </c>
      <c r="M48" s="25">
        <f>'Inputs by network level'!M28</f>
        <v>0</v>
      </c>
      <c r="N48" s="25">
        <f>'Inputs by network level'!N28</f>
        <v>3.11004784688995E-2</v>
      </c>
      <c r="O48" s="25">
        <f>'Inputs by network level'!O28</f>
        <v>0.14212259371833799</v>
      </c>
      <c r="P48" s="25">
        <f>'Inputs by network level'!P28</f>
        <v>0</v>
      </c>
      <c r="Q48" s="25">
        <f>'Inputs by network level'!Q28</f>
        <v>0.45146695143884902</v>
      </c>
      <c r="R48" s="25">
        <f>'Inputs by network level'!R28</f>
        <v>0</v>
      </c>
      <c r="S48" s="25">
        <f>'Inputs by network level'!S28</f>
        <v>0</v>
      </c>
      <c r="T48" s="66"/>
      <c r="U48" s="66"/>
      <c r="W48" s="3"/>
    </row>
    <row r="49" spans="5:23" x14ac:dyDescent="0.25">
      <c r="F49" s="67" t="s">
        <v>182</v>
      </c>
      <c r="G49" s="80" t="s">
        <v>166</v>
      </c>
      <c r="H49" s="76"/>
      <c r="I49" s="76"/>
      <c r="J49" s="68"/>
      <c r="K49" s="68"/>
      <c r="L49" s="141">
        <f>'Inputs by network level'!L29</f>
        <v>0</v>
      </c>
      <c r="M49" s="141">
        <f>'Inputs by network level'!M29</f>
        <v>0</v>
      </c>
      <c r="N49" s="141">
        <f>'Inputs by network level'!N29</f>
        <v>3.11004784688995E-2</v>
      </c>
      <c r="O49" s="141">
        <f>'Inputs by network level'!O29</f>
        <v>0.14212259371833799</v>
      </c>
      <c r="P49" s="141">
        <f>'Inputs by network level'!P29</f>
        <v>0</v>
      </c>
      <c r="Q49" s="141">
        <f>'Inputs by network level'!Q29</f>
        <v>0</v>
      </c>
      <c r="R49" s="141">
        <f>'Inputs by network level'!R29</f>
        <v>0</v>
      </c>
      <c r="S49" s="141">
        <f>'Inputs by network level'!S29</f>
        <v>0</v>
      </c>
      <c r="T49" s="68"/>
      <c r="U49" s="68"/>
      <c r="W49" s="3"/>
    </row>
    <row r="50" spans="5:23" x14ac:dyDescent="0.25">
      <c r="G50" s="13"/>
      <c r="H50" s="3"/>
      <c r="I50" s="3"/>
      <c r="J50" s="3"/>
      <c r="K50" s="3"/>
      <c r="L50" s="3"/>
      <c r="M50" s="3"/>
      <c r="N50" s="3"/>
      <c r="O50" s="3"/>
      <c r="P50" s="3"/>
      <c r="Q50" s="3"/>
      <c r="R50" s="3"/>
      <c r="S50" s="3"/>
      <c r="T50" s="3"/>
      <c r="U50" s="3"/>
      <c r="W50" s="3"/>
    </row>
    <row r="51" spans="5:23" x14ac:dyDescent="0.25">
      <c r="E51" s="32" t="s">
        <v>415</v>
      </c>
      <c r="H51" s="13"/>
      <c r="I51" s="3"/>
      <c r="J51" s="3"/>
      <c r="K51" s="3"/>
      <c r="L51" s="3"/>
      <c r="M51" s="3"/>
      <c r="N51" s="3"/>
      <c r="O51" s="3"/>
      <c r="P51" s="3"/>
      <c r="Q51" s="3"/>
      <c r="R51" s="3"/>
      <c r="S51" s="3"/>
      <c r="T51" s="3"/>
      <c r="U51" s="3"/>
      <c r="W51" s="3"/>
    </row>
    <row r="52" spans="5:23" x14ac:dyDescent="0.25">
      <c r="E52" s="29" t="s">
        <v>416</v>
      </c>
      <c r="H52" s="13"/>
      <c r="I52" s="3"/>
      <c r="J52" s="3"/>
      <c r="K52" s="3"/>
      <c r="L52" s="3"/>
      <c r="M52" s="3"/>
      <c r="N52" s="3"/>
      <c r="O52" s="3"/>
      <c r="P52" s="3"/>
      <c r="Q52" s="3"/>
      <c r="R52" s="3"/>
      <c r="S52" s="3"/>
      <c r="T52" s="3"/>
      <c r="U52" s="3"/>
      <c r="W52" s="3"/>
    </row>
    <row r="53" spans="5:23" x14ac:dyDescent="0.25">
      <c r="F53" s="139"/>
      <c r="G53" s="139"/>
      <c r="H53" s="142"/>
      <c r="I53" s="139"/>
      <c r="J53" s="139" t="s">
        <v>188</v>
      </c>
      <c r="K53" s="140" t="s">
        <v>190</v>
      </c>
      <c r="L53" s="140" t="s">
        <v>191</v>
      </c>
      <c r="M53" s="140" t="s">
        <v>192</v>
      </c>
      <c r="N53" s="140" t="s">
        <v>193</v>
      </c>
      <c r="O53" s="140" t="s">
        <v>194</v>
      </c>
      <c r="P53" s="140" t="s">
        <v>195</v>
      </c>
      <c r="Q53" s="140" t="s">
        <v>196</v>
      </c>
      <c r="R53" s="140" t="s">
        <v>197</v>
      </c>
      <c r="S53" s="140" t="s">
        <v>198</v>
      </c>
      <c r="T53" s="140" t="s">
        <v>375</v>
      </c>
      <c r="U53" s="140" t="s">
        <v>376</v>
      </c>
      <c r="W53" s="3"/>
    </row>
    <row r="54" spans="5:23" x14ac:dyDescent="0.25">
      <c r="F54" s="28" t="s">
        <v>893</v>
      </c>
      <c r="G54" s="28"/>
      <c r="H54" s="72" t="s">
        <v>166</v>
      </c>
      <c r="J54" s="70"/>
      <c r="K54" s="70"/>
      <c r="L54" s="111">
        <f t="shared" ref="L54:S66" si="0">$M21 * L$46 + $L21 * L$47 + $K21 * L$48 + $J21 * L$49</f>
        <v>0</v>
      </c>
      <c r="M54" s="111">
        <f t="shared" si="0"/>
        <v>0</v>
      </c>
      <c r="N54" s="111">
        <f t="shared" si="0"/>
        <v>0</v>
      </c>
      <c r="O54" s="111">
        <f t="shared" si="0"/>
        <v>0</v>
      </c>
      <c r="P54" s="111">
        <f t="shared" si="0"/>
        <v>0</v>
      </c>
      <c r="Q54" s="111">
        <f t="shared" si="0"/>
        <v>0.20065197841726601</v>
      </c>
      <c r="R54" s="111">
        <f t="shared" si="0"/>
        <v>0.26968503937007898</v>
      </c>
      <c r="S54" s="111">
        <f t="shared" si="0"/>
        <v>0.92371773930088197</v>
      </c>
      <c r="T54" s="70"/>
      <c r="U54" s="70"/>
    </row>
    <row r="55" spans="5:23" x14ac:dyDescent="0.25">
      <c r="F55" s="28" t="s">
        <v>895</v>
      </c>
      <c r="G55" s="28"/>
      <c r="H55" s="72" t="s">
        <v>166</v>
      </c>
      <c r="J55" s="70"/>
      <c r="K55" s="70"/>
      <c r="L55" s="111">
        <f t="shared" si="0"/>
        <v>0</v>
      </c>
      <c r="M55" s="111">
        <f t="shared" si="0"/>
        <v>0</v>
      </c>
      <c r="N55" s="111">
        <f t="shared" si="0"/>
        <v>0</v>
      </c>
      <c r="O55" s="111">
        <f t="shared" si="0"/>
        <v>0</v>
      </c>
      <c r="P55" s="111">
        <f t="shared" si="0"/>
        <v>0</v>
      </c>
      <c r="Q55" s="111">
        <f t="shared" si="0"/>
        <v>0.20065197841726601</v>
      </c>
      <c r="R55" s="111">
        <f t="shared" si="0"/>
        <v>0.26968503937007898</v>
      </c>
      <c r="S55" s="111">
        <f t="shared" si="0"/>
        <v>0.92371773930088197</v>
      </c>
      <c r="T55" s="70"/>
      <c r="U55" s="70"/>
    </row>
    <row r="56" spans="5:23" x14ac:dyDescent="0.25">
      <c r="F56" s="28" t="s">
        <v>894</v>
      </c>
      <c r="G56" s="28"/>
      <c r="H56" s="72" t="s">
        <v>166</v>
      </c>
      <c r="J56" s="70"/>
      <c r="K56" s="70"/>
      <c r="L56" s="111">
        <f t="shared" si="0"/>
        <v>0</v>
      </c>
      <c r="M56" s="111">
        <f t="shared" si="0"/>
        <v>0</v>
      </c>
      <c r="N56" s="111">
        <f t="shared" si="0"/>
        <v>0</v>
      </c>
      <c r="O56" s="111">
        <f t="shared" si="0"/>
        <v>0</v>
      </c>
      <c r="P56" s="111">
        <f t="shared" si="0"/>
        <v>0</v>
      </c>
      <c r="Q56" s="111">
        <f t="shared" si="0"/>
        <v>0.20065197841726601</v>
      </c>
      <c r="R56" s="111">
        <f t="shared" si="0"/>
        <v>0.26968503937007898</v>
      </c>
      <c r="S56" s="111">
        <f t="shared" si="0"/>
        <v>0.92371773930088197</v>
      </c>
      <c r="T56" s="70"/>
      <c r="U56" s="70"/>
    </row>
    <row r="57" spans="5:23" x14ac:dyDescent="0.25">
      <c r="F57" s="28" t="s">
        <v>896</v>
      </c>
      <c r="G57" s="28"/>
      <c r="H57" s="72" t="s">
        <v>166</v>
      </c>
      <c r="J57" s="70"/>
      <c r="K57" s="70"/>
      <c r="L57" s="111">
        <f t="shared" si="0"/>
        <v>0</v>
      </c>
      <c r="M57" s="111">
        <f t="shared" si="0"/>
        <v>0</v>
      </c>
      <c r="N57" s="111">
        <f t="shared" si="0"/>
        <v>0</v>
      </c>
      <c r="O57" s="111">
        <f t="shared" si="0"/>
        <v>0</v>
      </c>
      <c r="P57" s="111">
        <f t="shared" si="0"/>
        <v>0</v>
      </c>
      <c r="Q57" s="111">
        <f t="shared" si="0"/>
        <v>0.20065197841726601</v>
      </c>
      <c r="R57" s="111">
        <f t="shared" si="0"/>
        <v>0.26968503937007898</v>
      </c>
      <c r="S57" s="111">
        <f t="shared" si="0"/>
        <v>0.92371773930088197</v>
      </c>
      <c r="T57" s="70"/>
      <c r="U57" s="70"/>
    </row>
    <row r="58" spans="5:23" x14ac:dyDescent="0.25">
      <c r="F58" s="28" t="s">
        <v>902</v>
      </c>
      <c r="G58" s="28"/>
      <c r="H58" s="72" t="s">
        <v>166</v>
      </c>
      <c r="J58" s="70"/>
      <c r="K58" s="70"/>
      <c r="L58" s="111">
        <f t="shared" si="0"/>
        <v>0</v>
      </c>
      <c r="M58" s="111">
        <f t="shared" si="0"/>
        <v>0</v>
      </c>
      <c r="N58" s="111">
        <f t="shared" si="0"/>
        <v>0</v>
      </c>
      <c r="O58" s="111">
        <f t="shared" si="0"/>
        <v>0</v>
      </c>
      <c r="P58" s="111">
        <f t="shared" si="0"/>
        <v>0</v>
      </c>
      <c r="Q58" s="111">
        <f t="shared" si="0"/>
        <v>0.20065197841726601</v>
      </c>
      <c r="R58" s="111">
        <f t="shared" si="0"/>
        <v>0.26968503937007898</v>
      </c>
      <c r="S58" s="111">
        <f t="shared" si="0"/>
        <v>0.92371773930088197</v>
      </c>
      <c r="T58" s="70"/>
      <c r="U58" s="70"/>
    </row>
    <row r="59" spans="5:23" x14ac:dyDescent="0.25">
      <c r="F59" s="28" t="s">
        <v>903</v>
      </c>
      <c r="G59" s="28"/>
      <c r="H59" s="72" t="s">
        <v>166</v>
      </c>
      <c r="J59" s="70"/>
      <c r="K59" s="70"/>
      <c r="L59" s="111">
        <f t="shared" si="0"/>
        <v>0</v>
      </c>
      <c r="M59" s="111">
        <f t="shared" si="0"/>
        <v>0</v>
      </c>
      <c r="N59" s="111">
        <f t="shared" si="0"/>
        <v>0</v>
      </c>
      <c r="O59" s="111">
        <f t="shared" si="0"/>
        <v>0</v>
      </c>
      <c r="P59" s="111">
        <f t="shared" si="0"/>
        <v>0</v>
      </c>
      <c r="Q59" s="111">
        <f t="shared" si="0"/>
        <v>0.20065197841726601</v>
      </c>
      <c r="R59" s="111">
        <f t="shared" si="0"/>
        <v>0.26968503937007898</v>
      </c>
      <c r="S59" s="111">
        <f t="shared" si="0"/>
        <v>0</v>
      </c>
      <c r="T59" s="70"/>
      <c r="U59" s="70"/>
    </row>
    <row r="60" spans="5:23" x14ac:dyDescent="0.25">
      <c r="F60" s="28" t="s">
        <v>904</v>
      </c>
      <c r="G60" s="28"/>
      <c r="H60" s="72" t="s">
        <v>166</v>
      </c>
      <c r="J60" s="70"/>
      <c r="K60" s="70"/>
      <c r="L60" s="111">
        <f t="shared" si="0"/>
        <v>0</v>
      </c>
      <c r="M60" s="111">
        <f t="shared" si="0"/>
        <v>0</v>
      </c>
      <c r="N60" s="111">
        <f t="shared" si="0"/>
        <v>3.11004784688995E-2</v>
      </c>
      <c r="O60" s="111">
        <f t="shared" si="0"/>
        <v>0.14212259371833799</v>
      </c>
      <c r="P60" s="111">
        <f t="shared" si="0"/>
        <v>0</v>
      </c>
      <c r="Q60" s="111">
        <f t="shared" si="0"/>
        <v>0.45146695143884902</v>
      </c>
      <c r="R60" s="111">
        <f t="shared" si="0"/>
        <v>0</v>
      </c>
      <c r="S60" s="111">
        <f t="shared" si="0"/>
        <v>0</v>
      </c>
      <c r="T60" s="70"/>
      <c r="U60" s="70"/>
    </row>
    <row r="61" spans="5:23" x14ac:dyDescent="0.25">
      <c r="F61" s="28" t="s">
        <v>1027</v>
      </c>
      <c r="G61" s="28"/>
      <c r="H61" s="72" t="s">
        <v>166</v>
      </c>
      <c r="J61" s="70"/>
      <c r="K61" s="70"/>
      <c r="L61" s="111">
        <f t="shared" si="0"/>
        <v>0</v>
      </c>
      <c r="M61" s="111">
        <f t="shared" si="0"/>
        <v>0</v>
      </c>
      <c r="N61" s="111">
        <f t="shared" si="0"/>
        <v>0</v>
      </c>
      <c r="O61" s="111">
        <f t="shared" si="0"/>
        <v>0</v>
      </c>
      <c r="P61" s="111">
        <f t="shared" si="0"/>
        <v>0</v>
      </c>
      <c r="Q61" s="111">
        <f t="shared" si="0"/>
        <v>0.20065197841726601</v>
      </c>
      <c r="R61" s="111">
        <f t="shared" si="0"/>
        <v>0.26968503937007898</v>
      </c>
      <c r="S61" s="111">
        <f t="shared" si="0"/>
        <v>0.92371773930088197</v>
      </c>
      <c r="T61" s="70"/>
      <c r="U61" s="70"/>
    </row>
    <row r="62" spans="5:23" x14ac:dyDescent="0.25">
      <c r="F62" s="28" t="s">
        <v>1028</v>
      </c>
      <c r="G62" s="28"/>
      <c r="H62" s="72" t="s">
        <v>166</v>
      </c>
      <c r="J62" s="70"/>
      <c r="K62" s="70"/>
      <c r="L62" s="111">
        <f t="shared" si="0"/>
        <v>0</v>
      </c>
      <c r="M62" s="111">
        <f t="shared" si="0"/>
        <v>0</v>
      </c>
      <c r="N62" s="111">
        <f t="shared" si="0"/>
        <v>0</v>
      </c>
      <c r="O62" s="111">
        <f t="shared" si="0"/>
        <v>0</v>
      </c>
      <c r="P62" s="111">
        <f t="shared" si="0"/>
        <v>0</v>
      </c>
      <c r="Q62" s="111">
        <f t="shared" si="0"/>
        <v>0.20065197841726601</v>
      </c>
      <c r="R62" s="111">
        <f t="shared" si="0"/>
        <v>0.26968503937007898</v>
      </c>
      <c r="S62" s="111">
        <f t="shared" si="0"/>
        <v>0</v>
      </c>
      <c r="T62" s="70"/>
      <c r="U62" s="70"/>
    </row>
    <row r="63" spans="5:23" x14ac:dyDescent="0.25">
      <c r="F63" s="28" t="s">
        <v>1029</v>
      </c>
      <c r="G63" s="28"/>
      <c r="H63" s="72" t="s">
        <v>166</v>
      </c>
      <c r="J63" s="70"/>
      <c r="K63" s="70"/>
      <c r="L63" s="111">
        <f t="shared" si="0"/>
        <v>0</v>
      </c>
      <c r="M63" s="111">
        <f t="shared" si="0"/>
        <v>0</v>
      </c>
      <c r="N63" s="111">
        <f t="shared" si="0"/>
        <v>3.11004784688995E-2</v>
      </c>
      <c r="O63" s="111">
        <f t="shared" si="0"/>
        <v>0.14212259371833799</v>
      </c>
      <c r="P63" s="111">
        <f t="shared" si="0"/>
        <v>0</v>
      </c>
      <c r="Q63" s="111">
        <f t="shared" si="0"/>
        <v>0.45146695143884902</v>
      </c>
      <c r="R63" s="111">
        <f t="shared" si="0"/>
        <v>0</v>
      </c>
      <c r="S63" s="111">
        <f t="shared" si="0"/>
        <v>0</v>
      </c>
      <c r="T63" s="70"/>
      <c r="U63" s="70"/>
    </row>
    <row r="64" spans="5:23" x14ac:dyDescent="0.25">
      <c r="F64" s="28" t="s">
        <v>905</v>
      </c>
      <c r="G64" s="28"/>
      <c r="H64" s="72" t="s">
        <v>166</v>
      </c>
      <c r="J64" s="70"/>
      <c r="K64" s="70"/>
      <c r="L64" s="111">
        <f t="shared" si="0"/>
        <v>0</v>
      </c>
      <c r="M64" s="111">
        <f t="shared" si="0"/>
        <v>0</v>
      </c>
      <c r="N64" s="111">
        <f t="shared" si="0"/>
        <v>0</v>
      </c>
      <c r="O64" s="111">
        <f t="shared" si="0"/>
        <v>0</v>
      </c>
      <c r="P64" s="111">
        <f t="shared" si="0"/>
        <v>0</v>
      </c>
      <c r="Q64" s="111">
        <f t="shared" si="0"/>
        <v>0.20065197841726601</v>
      </c>
      <c r="R64" s="111">
        <f t="shared" si="0"/>
        <v>0.26968503937007898</v>
      </c>
      <c r="S64" s="111">
        <f t="shared" si="0"/>
        <v>0.92371773930088197</v>
      </c>
      <c r="T64" s="70"/>
      <c r="U64" s="70"/>
    </row>
    <row r="65" spans="2:23" x14ac:dyDescent="0.25">
      <c r="F65" s="28" t="s">
        <v>897</v>
      </c>
      <c r="G65" s="28"/>
      <c r="H65" s="72" t="s">
        <v>166</v>
      </c>
      <c r="J65" s="70"/>
      <c r="K65" s="70"/>
      <c r="L65" s="111">
        <f t="shared" si="0"/>
        <v>0</v>
      </c>
      <c r="M65" s="111">
        <f t="shared" si="0"/>
        <v>0</v>
      </c>
      <c r="N65" s="111">
        <f t="shared" si="0"/>
        <v>0</v>
      </c>
      <c r="O65" s="111">
        <f t="shared" si="0"/>
        <v>0</v>
      </c>
      <c r="P65" s="111">
        <f t="shared" si="0"/>
        <v>0</v>
      </c>
      <c r="Q65" s="111">
        <f t="shared" si="0"/>
        <v>0.20065197841726601</v>
      </c>
      <c r="R65" s="111">
        <f t="shared" si="0"/>
        <v>0.26968503937007898</v>
      </c>
      <c r="S65" s="111">
        <f t="shared" si="0"/>
        <v>0.92371773930088197</v>
      </c>
      <c r="T65" s="70"/>
      <c r="U65" s="70"/>
    </row>
    <row r="66" spans="2:23" x14ac:dyDescent="0.25">
      <c r="F66" s="28" t="s">
        <v>898</v>
      </c>
      <c r="G66" s="28"/>
      <c r="H66" s="72" t="s">
        <v>166</v>
      </c>
      <c r="J66" s="70"/>
      <c r="K66" s="70"/>
      <c r="L66" s="111">
        <f t="shared" si="0"/>
        <v>0</v>
      </c>
      <c r="M66" s="111">
        <f t="shared" si="0"/>
        <v>0</v>
      </c>
      <c r="N66" s="111">
        <f t="shared" si="0"/>
        <v>0</v>
      </c>
      <c r="O66" s="111">
        <f t="shared" si="0"/>
        <v>0</v>
      </c>
      <c r="P66" s="111">
        <f t="shared" si="0"/>
        <v>0</v>
      </c>
      <c r="Q66" s="111">
        <f t="shared" si="0"/>
        <v>0.20065197841726601</v>
      </c>
      <c r="R66" s="111">
        <f t="shared" si="0"/>
        <v>0.26968503937007898</v>
      </c>
      <c r="S66" s="111">
        <f t="shared" si="0"/>
        <v>0</v>
      </c>
      <c r="T66" s="70"/>
      <c r="U66" s="70"/>
    </row>
    <row r="67" spans="2:23" x14ac:dyDescent="0.25">
      <c r="F67" s="28" t="s">
        <v>899</v>
      </c>
      <c r="G67" s="28"/>
      <c r="H67" s="72" t="s">
        <v>166</v>
      </c>
      <c r="J67" s="70"/>
      <c r="K67" s="70"/>
      <c r="L67" s="111">
        <f t="shared" ref="L67:S72" si="1">$M34 * L$46 + $L34 * L$47 + $K34 * L$48 + $J34 * L$49</f>
        <v>0</v>
      </c>
      <c r="M67" s="111">
        <f t="shared" si="1"/>
        <v>0</v>
      </c>
      <c r="N67" s="111">
        <f t="shared" si="1"/>
        <v>0</v>
      </c>
      <c r="O67" s="111">
        <f t="shared" si="1"/>
        <v>0</v>
      </c>
      <c r="P67" s="111">
        <f t="shared" si="1"/>
        <v>0</v>
      </c>
      <c r="Q67" s="111">
        <f t="shared" si="1"/>
        <v>0.20065197841726601</v>
      </c>
      <c r="R67" s="111">
        <f t="shared" si="1"/>
        <v>0.26968503937007898</v>
      </c>
      <c r="S67" s="111">
        <f t="shared" si="1"/>
        <v>0.92371773930088197</v>
      </c>
      <c r="T67" s="70"/>
      <c r="U67" s="70"/>
    </row>
    <row r="68" spans="2:23" x14ac:dyDescent="0.25">
      <c r="F68" s="28" t="s">
        <v>908</v>
      </c>
      <c r="G68" s="28"/>
      <c r="H68" s="72" t="s">
        <v>166</v>
      </c>
      <c r="J68" s="70"/>
      <c r="K68" s="70"/>
      <c r="L68" s="111">
        <f t="shared" si="1"/>
        <v>0</v>
      </c>
      <c r="M68" s="111">
        <f t="shared" si="1"/>
        <v>0</v>
      </c>
      <c r="N68" s="111">
        <f t="shared" si="1"/>
        <v>0</v>
      </c>
      <c r="O68" s="111">
        <f t="shared" si="1"/>
        <v>0</v>
      </c>
      <c r="P68" s="111">
        <f t="shared" si="1"/>
        <v>0</v>
      </c>
      <c r="Q68" s="111">
        <f t="shared" si="1"/>
        <v>0.20065197841726601</v>
      </c>
      <c r="R68" s="111">
        <f t="shared" si="1"/>
        <v>0.26968503937007898</v>
      </c>
      <c r="S68" s="111">
        <f t="shared" si="1"/>
        <v>0.92371773930088197</v>
      </c>
      <c r="T68" s="70"/>
      <c r="U68" s="70"/>
    </row>
    <row r="69" spans="2:23" x14ac:dyDescent="0.25">
      <c r="F69" s="28" t="s">
        <v>900</v>
      </c>
      <c r="G69" s="28"/>
      <c r="H69" s="72" t="s">
        <v>166</v>
      </c>
      <c r="J69" s="70"/>
      <c r="K69" s="70"/>
      <c r="L69" s="111">
        <f t="shared" si="1"/>
        <v>0</v>
      </c>
      <c r="M69" s="111">
        <f t="shared" si="1"/>
        <v>0</v>
      </c>
      <c r="N69" s="111">
        <f t="shared" si="1"/>
        <v>0</v>
      </c>
      <c r="O69" s="111">
        <f t="shared" si="1"/>
        <v>0</v>
      </c>
      <c r="P69" s="111">
        <f t="shared" si="1"/>
        <v>0</v>
      </c>
      <c r="Q69" s="111">
        <f t="shared" si="1"/>
        <v>0.20065197841726601</v>
      </c>
      <c r="R69" s="111">
        <f t="shared" si="1"/>
        <v>0.26968503937007898</v>
      </c>
      <c r="S69" s="111">
        <f t="shared" si="1"/>
        <v>0</v>
      </c>
      <c r="T69" s="70"/>
      <c r="U69" s="70"/>
    </row>
    <row r="70" spans="2:23" x14ac:dyDescent="0.25">
      <c r="F70" s="28" t="s">
        <v>907</v>
      </c>
      <c r="G70" s="28"/>
      <c r="H70" s="72" t="s">
        <v>166</v>
      </c>
      <c r="J70" s="70"/>
      <c r="K70" s="70"/>
      <c r="L70" s="111">
        <f t="shared" si="1"/>
        <v>0</v>
      </c>
      <c r="M70" s="111">
        <f t="shared" si="1"/>
        <v>0</v>
      </c>
      <c r="N70" s="111">
        <f t="shared" si="1"/>
        <v>0</v>
      </c>
      <c r="O70" s="111">
        <f t="shared" si="1"/>
        <v>0</v>
      </c>
      <c r="P70" s="111">
        <f t="shared" si="1"/>
        <v>0</v>
      </c>
      <c r="Q70" s="111">
        <f t="shared" si="1"/>
        <v>0.20065197841726601</v>
      </c>
      <c r="R70" s="111">
        <f t="shared" si="1"/>
        <v>0.26968503937007898</v>
      </c>
      <c r="S70" s="111">
        <f t="shared" si="1"/>
        <v>0</v>
      </c>
      <c r="T70" s="70"/>
      <c r="U70" s="70"/>
    </row>
    <row r="71" spans="2:23" x14ac:dyDescent="0.25">
      <c r="F71" s="28" t="s">
        <v>901</v>
      </c>
      <c r="G71" s="28"/>
      <c r="H71" s="72" t="s">
        <v>166</v>
      </c>
      <c r="J71" s="70"/>
      <c r="K71" s="70"/>
      <c r="L71" s="111">
        <f t="shared" si="1"/>
        <v>0</v>
      </c>
      <c r="M71" s="111">
        <f t="shared" si="1"/>
        <v>0</v>
      </c>
      <c r="N71" s="111">
        <f t="shared" si="1"/>
        <v>3.11004784688995E-2</v>
      </c>
      <c r="O71" s="111">
        <f t="shared" si="1"/>
        <v>0.14212259371833799</v>
      </c>
      <c r="P71" s="111">
        <f t="shared" si="1"/>
        <v>0</v>
      </c>
      <c r="Q71" s="111">
        <f t="shared" si="1"/>
        <v>0.45146695143884902</v>
      </c>
      <c r="R71" s="111">
        <f t="shared" si="1"/>
        <v>0</v>
      </c>
      <c r="S71" s="111">
        <f t="shared" si="1"/>
        <v>0</v>
      </c>
      <c r="T71" s="70"/>
      <c r="U71" s="70"/>
    </row>
    <row r="72" spans="2:23" x14ac:dyDescent="0.25">
      <c r="F72" s="67" t="s">
        <v>906</v>
      </c>
      <c r="G72" s="67"/>
      <c r="H72" s="80" t="s">
        <v>166</v>
      </c>
      <c r="I72" s="37"/>
      <c r="J72" s="71"/>
      <c r="K72" s="71"/>
      <c r="L72" s="143">
        <f t="shared" si="1"/>
        <v>0</v>
      </c>
      <c r="M72" s="143">
        <f t="shared" si="1"/>
        <v>0</v>
      </c>
      <c r="N72" s="143">
        <f t="shared" si="1"/>
        <v>3.11004784688995E-2</v>
      </c>
      <c r="O72" s="143">
        <f t="shared" si="1"/>
        <v>0.14212259371833799</v>
      </c>
      <c r="P72" s="143">
        <f t="shared" si="1"/>
        <v>0</v>
      </c>
      <c r="Q72" s="143">
        <f t="shared" si="1"/>
        <v>0.45146695143884902</v>
      </c>
      <c r="R72" s="143">
        <f t="shared" si="1"/>
        <v>0</v>
      </c>
      <c r="S72" s="143">
        <f t="shared" si="1"/>
        <v>0</v>
      </c>
      <c r="T72" s="71"/>
      <c r="U72" s="71"/>
    </row>
    <row r="74" spans="2:23" x14ac:dyDescent="0.25">
      <c r="B74" s="30" t="s">
        <v>230</v>
      </c>
      <c r="C74" s="105"/>
      <c r="D74" s="104"/>
      <c r="E74" s="104"/>
      <c r="F74" s="105"/>
      <c r="G74" s="105"/>
      <c r="H74" s="105"/>
      <c r="I74" s="105"/>
      <c r="J74" s="105"/>
      <c r="K74" s="105"/>
      <c r="L74" s="105"/>
      <c r="M74" s="105"/>
      <c r="N74" s="105"/>
      <c r="O74" s="105"/>
      <c r="P74" s="105"/>
      <c r="Q74" s="105"/>
      <c r="R74" s="105"/>
      <c r="S74" s="105"/>
      <c r="T74" s="105"/>
      <c r="U74" s="105"/>
      <c r="V74" s="105"/>
      <c r="W74" s="105"/>
    </row>
    <row r="76" spans="2:23" x14ac:dyDescent="0.25">
      <c r="E76" t="s">
        <v>231</v>
      </c>
      <c r="G76" s="6" t="s">
        <v>54</v>
      </c>
      <c r="H76" s="26">
        <f t="array" ref="H76">SUM(IF(ISERROR(H21:U72), 1))</f>
        <v>0</v>
      </c>
    </row>
    <row r="78" spans="2:23" x14ac:dyDescent="0.25">
      <c r="B78" s="30" t="s">
        <v>105</v>
      </c>
      <c r="C78" s="105"/>
      <c r="D78" s="104"/>
      <c r="E78" s="104"/>
      <c r="F78" s="105"/>
      <c r="G78" s="105"/>
      <c r="H78" s="105"/>
      <c r="I78" s="105"/>
      <c r="J78" s="105"/>
      <c r="K78" s="105"/>
      <c r="L78" s="105"/>
      <c r="M78" s="105"/>
      <c r="N78" s="105"/>
      <c r="O78" s="105"/>
      <c r="P78" s="105"/>
      <c r="Q78" s="105"/>
      <c r="R78" s="105"/>
      <c r="S78" s="105"/>
      <c r="T78" s="105"/>
      <c r="U78" s="105"/>
      <c r="V78" s="105"/>
      <c r="W78" s="105"/>
    </row>
  </sheetData>
  <sheetProtection sheet="1" objects="1" formatCells="0" formatColumns="0" formatRows="0" sort="0" autoFilter="0"/>
  <conditionalFormatting sqref="H76">
    <cfRule type="cellIs" dxfId="169" priority="3" operator="greaterThan">
      <formula>0</formula>
    </cfRule>
  </conditionalFormatting>
  <conditionalFormatting sqref="A4:XFD4">
    <cfRule type="expression" dxfId="168" priority="2">
      <formula>LEFT($A$4,1) &lt;&gt; "0"</formula>
    </cfRule>
  </conditionalFormatting>
  <conditionalFormatting sqref="J5:U5">
    <cfRule type="expression" dxfId="167" priority="1">
      <formula>LEFT($A$4,1) &lt;&gt; "0"</formula>
    </cfRule>
  </conditionalFormatting>
  <hyperlinks>
    <hyperlink ref="B5:F5" location="'Model map'!A1" display="Click here to return to model map" xr:uid="{00000000-0004-0000-0B00-000000000000}"/>
  </hyperlinks>
  <pageMargins left="0.7" right="0.7" top="0.75" bottom="0.75" header="0.3" footer="0.3"/>
  <pageSetup paperSize="9" fitToHeight="0" orientation="portrait" r:id="rId1"/>
  <headerFooter>
    <oddHeader>&amp;L&amp;A&amp;C&amp;R&amp;P of &amp;N</oddHeader>
    <oddFooter>&amp;F</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8">
    <tabColor theme="4" tint="0.59999389629810485"/>
    <pageSetUpPr fitToPage="1"/>
  </sheetPr>
  <dimension ref="A1:LK142"/>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8" width="17" customWidth="1"/>
    <col min="29" max="29" width="2.42578125" customWidth="1"/>
    <col min="30" max="30" width="50.5703125" customWidth="1"/>
    <col min="31" max="31" width="2.42578125" customWidth="1"/>
    <col min="32" max="44" width="17" hidden="1" customWidth="1"/>
    <col min="45" max="45" width="3.5703125" hidden="1" customWidth="1"/>
    <col min="46" max="46" width="18.42578125" hidden="1" customWidth="1"/>
    <col min="47" max="47" width="4.42578125" hidden="1" customWidth="1"/>
    <col min="48" max="48" width="24.5703125" hidden="1" customWidth="1"/>
    <col min="49" max="49" width="3.5703125" hidden="1" customWidth="1"/>
    <col min="50" max="50" width="15.42578125" hidden="1" customWidth="1"/>
    <col min="51" max="323" width="24.5703125" hidden="1" customWidth="1"/>
    <col min="324" max="16384" width="8.7109375" hidden="1"/>
  </cols>
  <sheetData>
    <row r="1" spans="1:46" s="1" customFormat="1" x14ac:dyDescent="0.25">
      <c r="A1" s="1" t="str">
        <f ca="1">MID(CELL("filename",A1),FIND("]",CELL("filename",A1))+1,255)</f>
        <v>Volume adjustments</v>
      </c>
    </row>
    <row r="2" spans="1:46" s="1" customFormat="1" x14ac:dyDescent="0.25">
      <c r="A2" s="1" t="str">
        <f>Cover!D21&amp;" - "&amp;Cover!D23</f>
        <v>SP Distribution - Two</v>
      </c>
    </row>
    <row r="3" spans="1:46" s="5" customFormat="1" x14ac:dyDescent="0.25">
      <c r="A3" s="5" t="str">
        <f>Cover!D2&amp;" - "&amp;Cover!D8&amp;" v"&amp;Cover!D10&amp;" - "&amp;Cover!D19</f>
        <v>CDCM charging model - Release for charge setting v6 - 2021/22</v>
      </c>
    </row>
    <row r="4" spans="1:46" x14ac:dyDescent="0.25">
      <c r="A4" s="12" t="str">
        <f>H140 &amp; IF(H140 = 1, " issue", " issues") &amp;" identified in checks on this sheet"</f>
        <v>0 issues identified in checks on this sheet</v>
      </c>
      <c r="B4" s="13"/>
      <c r="C4" s="13"/>
      <c r="D4" s="13"/>
      <c r="E4" s="13"/>
      <c r="F4" s="13"/>
      <c r="G4" s="13"/>
      <c r="H4" s="14"/>
      <c r="I4" s="14"/>
    </row>
    <row r="5" spans="1:46" ht="60" x14ac:dyDescent="0.25">
      <c r="B5" s="59" t="s">
        <v>141</v>
      </c>
      <c r="C5" s="60"/>
      <c r="D5" s="60"/>
      <c r="E5" s="60"/>
      <c r="F5" s="60"/>
      <c r="G5" s="61" t="s">
        <v>142</v>
      </c>
      <c r="H5" s="62" t="s">
        <v>143</v>
      </c>
      <c r="I5" s="14"/>
      <c r="J5" s="62" t="s">
        <v>893</v>
      </c>
      <c r="K5" s="62" t="s">
        <v>895</v>
      </c>
      <c r="L5" s="62" t="s">
        <v>894</v>
      </c>
      <c r="M5" s="62" t="s">
        <v>896</v>
      </c>
      <c r="N5" s="62" t="s">
        <v>902</v>
      </c>
      <c r="O5" s="62" t="s">
        <v>903</v>
      </c>
      <c r="P5" s="62" t="s">
        <v>904</v>
      </c>
      <c r="Q5" s="62" t="s">
        <v>1027</v>
      </c>
      <c r="R5" s="62" t="s">
        <v>1028</v>
      </c>
      <c r="S5" s="62" t="s">
        <v>1029</v>
      </c>
      <c r="T5" s="62" t="s">
        <v>905</v>
      </c>
      <c r="U5" s="62" t="s">
        <v>897</v>
      </c>
      <c r="V5" s="62" t="s">
        <v>898</v>
      </c>
      <c r="W5" s="62" t="s">
        <v>899</v>
      </c>
      <c r="X5" s="62" t="s">
        <v>908</v>
      </c>
      <c r="Y5" s="62" t="s">
        <v>900</v>
      </c>
      <c r="Z5" s="62" t="s">
        <v>907</v>
      </c>
      <c r="AA5" s="62" t="s">
        <v>901</v>
      </c>
      <c r="AB5" s="62" t="s">
        <v>906</v>
      </c>
      <c r="AD5" s="61" t="s">
        <v>144</v>
      </c>
    </row>
    <row r="7" spans="1:46" x14ac:dyDescent="0.25">
      <c r="B7" s="30" t="s">
        <v>9</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F7" s="30"/>
      <c r="AG7" s="30"/>
      <c r="AH7" s="30"/>
      <c r="AI7" s="30"/>
      <c r="AJ7" s="30"/>
      <c r="AK7" s="30"/>
      <c r="AL7" s="30"/>
      <c r="AM7" s="30"/>
      <c r="AN7" s="30"/>
      <c r="AO7" s="30"/>
      <c r="AP7" s="30"/>
      <c r="AQ7" s="30"/>
      <c r="AR7" s="30"/>
      <c r="AT7" s="30"/>
    </row>
    <row r="9" spans="1:46" x14ac:dyDescent="0.25">
      <c r="C9" s="29" t="s">
        <v>417</v>
      </c>
    </row>
    <row r="10" spans="1:46" x14ac:dyDescent="0.25">
      <c r="C10" s="29" t="s">
        <v>418</v>
      </c>
    </row>
    <row r="11" spans="1:46" x14ac:dyDescent="0.25">
      <c r="C11" s="29" t="s">
        <v>419</v>
      </c>
    </row>
    <row r="13" spans="1:46" x14ac:dyDescent="0.25">
      <c r="B13" s="30" t="s">
        <v>420</v>
      </c>
      <c r="C13" s="30"/>
      <c r="D13" s="30"/>
      <c r="E13" s="30"/>
      <c r="F13" s="30"/>
      <c r="G13" s="30"/>
      <c r="H13" s="30"/>
      <c r="I13" s="30"/>
      <c r="J13" s="30"/>
      <c r="K13" s="30"/>
      <c r="L13" s="30"/>
      <c r="M13" s="30"/>
      <c r="N13" s="30"/>
      <c r="O13" s="30"/>
      <c r="P13" s="30"/>
      <c r="Q13" s="30"/>
      <c r="R13" s="30"/>
      <c r="S13" s="30"/>
      <c r="T13" s="30"/>
      <c r="U13" s="30"/>
      <c r="V13" s="30"/>
      <c r="W13" s="30"/>
      <c r="X13" s="30"/>
      <c r="Y13" s="30"/>
      <c r="Z13" s="30"/>
      <c r="AA13" s="30"/>
      <c r="AB13" s="30"/>
      <c r="AC13" s="30"/>
      <c r="AD13" s="30"/>
      <c r="AF13" s="30"/>
      <c r="AG13" s="30"/>
      <c r="AH13" s="30"/>
      <c r="AI13" s="30"/>
      <c r="AJ13" s="30"/>
      <c r="AK13" s="30"/>
      <c r="AL13" s="30"/>
      <c r="AM13" s="30"/>
      <c r="AN13" s="30"/>
      <c r="AO13" s="30"/>
      <c r="AP13" s="30"/>
      <c r="AQ13" s="30"/>
      <c r="AR13" s="30"/>
      <c r="AT13" s="30"/>
    </row>
    <row r="14" spans="1:46" x14ac:dyDescent="0.25">
      <c r="C14" s="29"/>
    </row>
    <row r="15" spans="1:46" x14ac:dyDescent="0.25">
      <c r="C15" s="31" t="str">
        <f ca="1">INDEX('Version control'!$H$34:$H$57,MATCH($A$1,'Version control'!$F$34:$F$57,0),1)&amp;"-A: LDNO discounts"</f>
        <v>Section 104-A: LDNO discounts</v>
      </c>
      <c r="D15" s="31"/>
      <c r="E15" s="31"/>
      <c r="F15" s="31"/>
      <c r="G15" s="31"/>
      <c r="H15" s="31"/>
      <c r="I15" s="31"/>
      <c r="J15" s="31"/>
      <c r="K15" s="31"/>
      <c r="L15" s="31"/>
      <c r="M15" s="31"/>
      <c r="N15" s="31"/>
      <c r="O15" s="31"/>
      <c r="P15" s="31"/>
      <c r="Q15" s="31"/>
      <c r="R15" s="31"/>
      <c r="S15" s="31"/>
      <c r="T15" s="31"/>
      <c r="U15" s="31"/>
      <c r="V15" s="31"/>
      <c r="W15" s="31"/>
      <c r="X15" s="31"/>
      <c r="Y15" s="31"/>
      <c r="Z15" s="31"/>
      <c r="AA15" s="31"/>
      <c r="AB15" s="31"/>
      <c r="AC15" s="31"/>
      <c r="AD15" s="31"/>
      <c r="AF15" s="30"/>
      <c r="AG15" s="30"/>
      <c r="AH15" s="30"/>
      <c r="AI15" s="30"/>
      <c r="AJ15" s="30"/>
      <c r="AK15" s="30"/>
      <c r="AL15" s="30"/>
      <c r="AM15" s="30"/>
      <c r="AN15" s="30"/>
      <c r="AO15" s="30"/>
      <c r="AP15" s="30"/>
      <c r="AQ15" s="30"/>
      <c r="AR15" s="30"/>
      <c r="AT15" s="30"/>
    </row>
    <row r="16" spans="1:46" x14ac:dyDescent="0.25">
      <c r="C16" s="29"/>
    </row>
    <row r="17" spans="4:46" x14ac:dyDescent="0.25">
      <c r="D17" s="29" t="s">
        <v>421</v>
      </c>
    </row>
    <row r="18" spans="4:46" x14ac:dyDescent="0.25">
      <c r="D18" s="29" t="s">
        <v>422</v>
      </c>
    </row>
    <row r="19" spans="4:46" x14ac:dyDescent="0.25">
      <c r="D19" s="29"/>
    </row>
    <row r="20" spans="4:46" x14ac:dyDescent="0.25">
      <c r="E20" s="88" t="s">
        <v>423</v>
      </c>
      <c r="I20" t="s">
        <v>153</v>
      </c>
      <c r="J20" s="63"/>
      <c r="K20" s="63"/>
      <c r="L20" s="63"/>
      <c r="M20" s="63"/>
      <c r="N20" s="63"/>
      <c r="O20" s="63"/>
      <c r="P20" s="63"/>
      <c r="Q20" s="63"/>
      <c r="R20" s="63"/>
      <c r="S20" s="63"/>
      <c r="T20" s="63"/>
      <c r="U20" s="63"/>
      <c r="V20" s="63"/>
      <c r="W20" s="63"/>
      <c r="X20" s="63"/>
      <c r="Y20" s="63"/>
      <c r="Z20" s="63"/>
      <c r="AA20" s="63"/>
      <c r="AB20" s="63"/>
    </row>
    <row r="21" spans="4:46" x14ac:dyDescent="0.25">
      <c r="E21" s="29" t="s">
        <v>424</v>
      </c>
      <c r="AD21" t="s">
        <v>425</v>
      </c>
    </row>
    <row r="22" spans="4:46" x14ac:dyDescent="0.25">
      <c r="F22" s="23" t="s">
        <v>174</v>
      </c>
      <c r="G22" s="23" t="s">
        <v>166</v>
      </c>
      <c r="H22" s="107">
        <f>'General inputs'!H30</f>
        <v>0.39067242808448932</v>
      </c>
      <c r="AT22" s="3"/>
    </row>
    <row r="23" spans="4:46" x14ac:dyDescent="0.25">
      <c r="F23" t="s">
        <v>176</v>
      </c>
      <c r="G23" t="s">
        <v>166</v>
      </c>
      <c r="H23" s="25">
        <f>'General inputs'!H31</f>
        <v>0.60361788113874959</v>
      </c>
      <c r="AT23" s="3"/>
    </row>
    <row r="24" spans="4:46" x14ac:dyDescent="0.25">
      <c r="F24" t="s">
        <v>177</v>
      </c>
      <c r="G24" t="s">
        <v>166</v>
      </c>
      <c r="H24" s="25">
        <f>'General inputs'!H32</f>
        <v>0.34819248571328243</v>
      </c>
      <c r="AT24" s="3"/>
    </row>
    <row r="25" spans="4:46" x14ac:dyDescent="0.25">
      <c r="F25" s="37" t="s">
        <v>178</v>
      </c>
      <c r="G25" s="37" t="s">
        <v>166</v>
      </c>
      <c r="H25" s="141">
        <f>'General inputs'!H33</f>
        <v>0.25174009320591562</v>
      </c>
      <c r="AT25" s="3"/>
    </row>
    <row r="27" spans="4:46" x14ac:dyDescent="0.25">
      <c r="E27" s="32" t="s">
        <v>426</v>
      </c>
      <c r="I27" t="s">
        <v>153</v>
      </c>
      <c r="AD27" t="s">
        <v>427</v>
      </c>
      <c r="AT27" s="3"/>
    </row>
    <row r="28" spans="4:46" x14ac:dyDescent="0.25">
      <c r="E28" s="29" t="s">
        <v>428</v>
      </c>
    </row>
    <row r="29" spans="4:46" x14ac:dyDescent="0.25">
      <c r="E29" s="29" t="s">
        <v>429</v>
      </c>
    </row>
    <row r="30" spans="4:46" x14ac:dyDescent="0.25">
      <c r="F30" s="23" t="s">
        <v>174</v>
      </c>
      <c r="G30" s="23" t="s">
        <v>175</v>
      </c>
      <c r="H30" s="23"/>
      <c r="I30" s="23"/>
      <c r="J30" s="144">
        <f>'Fixed inputs'!J46</f>
        <v>1</v>
      </c>
      <c r="K30" s="144">
        <f>'Fixed inputs'!K46</f>
        <v>1</v>
      </c>
      <c r="L30" s="144">
        <f>'Fixed inputs'!L46</f>
        <v>1</v>
      </c>
      <c r="M30" s="144">
        <f>'Fixed inputs'!M46</f>
        <v>1</v>
      </c>
      <c r="N30" s="144">
        <f>'Fixed inputs'!N46</f>
        <v>1</v>
      </c>
      <c r="O30" s="144">
        <f>'Fixed inputs'!O46</f>
        <v>0</v>
      </c>
      <c r="P30" s="144">
        <f>'Fixed inputs'!P46</f>
        <v>0</v>
      </c>
      <c r="Q30" s="144">
        <f>'Fixed inputs'!Q46</f>
        <v>1</v>
      </c>
      <c r="R30" s="144">
        <f>'Fixed inputs'!R46</f>
        <v>0</v>
      </c>
      <c r="S30" s="144">
        <f>'Fixed inputs'!S46</f>
        <v>0</v>
      </c>
      <c r="T30" s="144">
        <f>'Fixed inputs'!T46</f>
        <v>1</v>
      </c>
      <c r="U30" s="144">
        <f>'Fixed inputs'!U46</f>
        <v>0</v>
      </c>
      <c r="V30" s="144">
        <f>'Fixed inputs'!V46</f>
        <v>0</v>
      </c>
      <c r="W30" s="144">
        <f>'Fixed inputs'!W46</f>
        <v>0</v>
      </c>
      <c r="X30" s="144">
        <f>'Fixed inputs'!X46</f>
        <v>0</v>
      </c>
      <c r="Y30" s="144">
        <f>'Fixed inputs'!Y46</f>
        <v>0</v>
      </c>
      <c r="Z30" s="144">
        <f>'Fixed inputs'!Z46</f>
        <v>0</v>
      </c>
      <c r="AA30" s="144">
        <f>'Fixed inputs'!AA46</f>
        <v>0</v>
      </c>
      <c r="AB30" s="144">
        <f>'Fixed inputs'!AB46</f>
        <v>0</v>
      </c>
      <c r="AT30" s="3"/>
    </row>
    <row r="31" spans="4:46" x14ac:dyDescent="0.25">
      <c r="F31" t="s">
        <v>176</v>
      </c>
      <c r="G31" t="s">
        <v>175</v>
      </c>
      <c r="J31" s="137">
        <f>'Fixed inputs'!J47</f>
        <v>1</v>
      </c>
      <c r="K31" s="137">
        <f>'Fixed inputs'!K47</f>
        <v>1</v>
      </c>
      <c r="L31" s="137">
        <f>'Fixed inputs'!L47</f>
        <v>1</v>
      </c>
      <c r="M31" s="137">
        <f>'Fixed inputs'!M47</f>
        <v>1</v>
      </c>
      <c r="N31" s="137">
        <f>'Fixed inputs'!N47</f>
        <v>1</v>
      </c>
      <c r="O31" s="137">
        <f>'Fixed inputs'!O47</f>
        <v>0</v>
      </c>
      <c r="P31" s="137">
        <f>'Fixed inputs'!P47</f>
        <v>0</v>
      </c>
      <c r="Q31" s="137">
        <f>'Fixed inputs'!Q47</f>
        <v>1</v>
      </c>
      <c r="R31" s="137">
        <f>'Fixed inputs'!R47</f>
        <v>0</v>
      </c>
      <c r="S31" s="137">
        <f>'Fixed inputs'!S47</f>
        <v>0</v>
      </c>
      <c r="T31" s="137">
        <f>'Fixed inputs'!T47</f>
        <v>1</v>
      </c>
      <c r="U31" s="137">
        <f>'Fixed inputs'!U47</f>
        <v>0</v>
      </c>
      <c r="V31" s="137">
        <f>'Fixed inputs'!V47</f>
        <v>0</v>
      </c>
      <c r="W31" s="137">
        <f>'Fixed inputs'!W47</f>
        <v>0</v>
      </c>
      <c r="X31" s="137">
        <f>'Fixed inputs'!X47</f>
        <v>0</v>
      </c>
      <c r="Y31" s="137">
        <f>'Fixed inputs'!Y47</f>
        <v>0</v>
      </c>
      <c r="Z31" s="137">
        <f>'Fixed inputs'!Z47</f>
        <v>0</v>
      </c>
      <c r="AA31" s="137">
        <f>'Fixed inputs'!AA47</f>
        <v>0</v>
      </c>
      <c r="AB31" s="137">
        <f>'Fixed inputs'!AB47</f>
        <v>0</v>
      </c>
      <c r="AT31" s="3"/>
    </row>
    <row r="32" spans="4:46" x14ac:dyDescent="0.25">
      <c r="F32" t="s">
        <v>177</v>
      </c>
      <c r="G32" t="s">
        <v>175</v>
      </c>
      <c r="J32" s="137">
        <f>'Fixed inputs'!J48</f>
        <v>0</v>
      </c>
      <c r="K32" s="137">
        <f>'Fixed inputs'!K48</f>
        <v>0</v>
      </c>
      <c r="L32" s="137">
        <f>'Fixed inputs'!L48</f>
        <v>0</v>
      </c>
      <c r="M32" s="137">
        <f>'Fixed inputs'!M48</f>
        <v>0</v>
      </c>
      <c r="N32" s="137">
        <f>'Fixed inputs'!N48</f>
        <v>0</v>
      </c>
      <c r="O32" s="137">
        <f>'Fixed inputs'!O48</f>
        <v>1</v>
      </c>
      <c r="P32" s="137">
        <f>'Fixed inputs'!P48</f>
        <v>0</v>
      </c>
      <c r="Q32" s="137">
        <f>'Fixed inputs'!Q48</f>
        <v>0</v>
      </c>
      <c r="R32" s="137">
        <f>'Fixed inputs'!R48</f>
        <v>1</v>
      </c>
      <c r="S32" s="137">
        <f>'Fixed inputs'!S48</f>
        <v>0</v>
      </c>
      <c r="T32" s="137">
        <f>'Fixed inputs'!T48</f>
        <v>0</v>
      </c>
      <c r="U32" s="137">
        <f>'Fixed inputs'!U48</f>
        <v>0</v>
      </c>
      <c r="V32" s="137">
        <f>'Fixed inputs'!V48</f>
        <v>0</v>
      </c>
      <c r="W32" s="137">
        <f>'Fixed inputs'!W48</f>
        <v>0</v>
      </c>
      <c r="X32" s="137">
        <f>'Fixed inputs'!X48</f>
        <v>0</v>
      </c>
      <c r="Y32" s="137">
        <f>'Fixed inputs'!Y48</f>
        <v>0</v>
      </c>
      <c r="Z32" s="137">
        <f>'Fixed inputs'!Z48</f>
        <v>0</v>
      </c>
      <c r="AA32" s="137">
        <f>'Fixed inputs'!AA48</f>
        <v>0</v>
      </c>
      <c r="AB32" s="137">
        <f>'Fixed inputs'!AB48</f>
        <v>0</v>
      </c>
      <c r="AT32" s="3"/>
    </row>
    <row r="33" spans="4:46" x14ac:dyDescent="0.25">
      <c r="F33" s="37" t="s">
        <v>178</v>
      </c>
      <c r="G33" s="37" t="s">
        <v>175</v>
      </c>
      <c r="H33" s="37"/>
      <c r="I33" s="37"/>
      <c r="J33" s="138">
        <f>'Fixed inputs'!J49</f>
        <v>0</v>
      </c>
      <c r="K33" s="138">
        <f>'Fixed inputs'!K49</f>
        <v>0</v>
      </c>
      <c r="L33" s="138">
        <f>'Fixed inputs'!L49</f>
        <v>0</v>
      </c>
      <c r="M33" s="138">
        <f>'Fixed inputs'!M49</f>
        <v>0</v>
      </c>
      <c r="N33" s="138">
        <f>'Fixed inputs'!N49</f>
        <v>0</v>
      </c>
      <c r="O33" s="138">
        <f>'Fixed inputs'!O49</f>
        <v>0</v>
      </c>
      <c r="P33" s="138">
        <f>'Fixed inputs'!P49</f>
        <v>1</v>
      </c>
      <c r="Q33" s="138">
        <f>'Fixed inputs'!Q49</f>
        <v>0</v>
      </c>
      <c r="R33" s="138">
        <f>'Fixed inputs'!R49</f>
        <v>0</v>
      </c>
      <c r="S33" s="138">
        <f>'Fixed inputs'!S49</f>
        <v>1</v>
      </c>
      <c r="T33" s="138">
        <f>'Fixed inputs'!T49</f>
        <v>0</v>
      </c>
      <c r="U33" s="138">
        <f>'Fixed inputs'!U49</f>
        <v>0</v>
      </c>
      <c r="V33" s="138">
        <f>'Fixed inputs'!V49</f>
        <v>0</v>
      </c>
      <c r="W33" s="138">
        <f>'Fixed inputs'!W49</f>
        <v>0</v>
      </c>
      <c r="X33" s="138">
        <f>'Fixed inputs'!X49</f>
        <v>0</v>
      </c>
      <c r="Y33" s="138">
        <f>'Fixed inputs'!Y49</f>
        <v>0</v>
      </c>
      <c r="Z33" s="138">
        <f>'Fixed inputs'!Z49</f>
        <v>0</v>
      </c>
      <c r="AA33" s="138">
        <f>'Fixed inputs'!AA49</f>
        <v>0</v>
      </c>
      <c r="AB33" s="138">
        <f>'Fixed inputs'!AB49</f>
        <v>0</v>
      </c>
      <c r="AT33" s="3"/>
    </row>
    <row r="34" spans="4:46" x14ac:dyDescent="0.25">
      <c r="F34" s="28" t="s">
        <v>430</v>
      </c>
      <c r="G34" s="28" t="s">
        <v>166</v>
      </c>
      <c r="J34" s="145">
        <f t="shared" ref="J34:AB34" si="0">J30 * $H$22</f>
        <v>0.39067242808448932</v>
      </c>
      <c r="K34" s="145">
        <f t="shared" si="0"/>
        <v>0.39067242808448932</v>
      </c>
      <c r="L34" s="145">
        <f t="shared" si="0"/>
        <v>0.39067242808448932</v>
      </c>
      <c r="M34" s="145">
        <f t="shared" si="0"/>
        <v>0.39067242808448932</v>
      </c>
      <c r="N34" s="145">
        <f t="shared" si="0"/>
        <v>0.39067242808448932</v>
      </c>
      <c r="O34" s="145">
        <f t="shared" si="0"/>
        <v>0</v>
      </c>
      <c r="P34" s="145">
        <f t="shared" si="0"/>
        <v>0</v>
      </c>
      <c r="Q34" s="145">
        <f t="shared" ref="Q34:S34" si="1">Q30 * $H$22</f>
        <v>0.39067242808448932</v>
      </c>
      <c r="R34" s="145">
        <f t="shared" si="1"/>
        <v>0</v>
      </c>
      <c r="S34" s="145">
        <f t="shared" si="1"/>
        <v>0</v>
      </c>
      <c r="T34" s="145">
        <f t="shared" si="0"/>
        <v>0.39067242808448932</v>
      </c>
      <c r="U34" s="145">
        <f t="shared" si="0"/>
        <v>0</v>
      </c>
      <c r="V34" s="145">
        <f t="shared" si="0"/>
        <v>0</v>
      </c>
      <c r="W34" s="145">
        <f t="shared" si="0"/>
        <v>0</v>
      </c>
      <c r="X34" s="145">
        <f t="shared" si="0"/>
        <v>0</v>
      </c>
      <c r="Y34" s="145">
        <f t="shared" si="0"/>
        <v>0</v>
      </c>
      <c r="Z34" s="145">
        <f t="shared" si="0"/>
        <v>0</v>
      </c>
      <c r="AA34" s="145">
        <f t="shared" si="0"/>
        <v>0</v>
      </c>
      <c r="AB34" s="145">
        <f t="shared" si="0"/>
        <v>0</v>
      </c>
      <c r="AT34" s="3"/>
    </row>
    <row r="35" spans="4:46" x14ac:dyDescent="0.25">
      <c r="F35" s="28" t="s">
        <v>431</v>
      </c>
      <c r="G35" s="28" t="s">
        <v>166</v>
      </c>
      <c r="J35" s="145">
        <f t="shared" ref="J35:AB35" si="2">SUMPRODUCT(J31:J33,$H$23:$H$25)</f>
        <v>0.60361788113874959</v>
      </c>
      <c r="K35" s="145">
        <f t="shared" si="2"/>
        <v>0.60361788113874959</v>
      </c>
      <c r="L35" s="145">
        <f t="shared" si="2"/>
        <v>0.60361788113874959</v>
      </c>
      <c r="M35" s="145">
        <f t="shared" si="2"/>
        <v>0.60361788113874959</v>
      </c>
      <c r="N35" s="145">
        <f t="shared" si="2"/>
        <v>0.60361788113874959</v>
      </c>
      <c r="O35" s="145">
        <f t="shared" si="2"/>
        <v>0.34819248571328243</v>
      </c>
      <c r="P35" s="145">
        <f t="shared" si="2"/>
        <v>0.25174009320591562</v>
      </c>
      <c r="Q35" s="145">
        <f t="shared" ref="Q35:S35" si="3">SUMPRODUCT(Q31:Q33,$H$23:$H$25)</f>
        <v>0.60361788113874959</v>
      </c>
      <c r="R35" s="145">
        <f t="shared" si="3"/>
        <v>0.34819248571328243</v>
      </c>
      <c r="S35" s="145">
        <f t="shared" si="3"/>
        <v>0.25174009320591562</v>
      </c>
      <c r="T35" s="145">
        <f t="shared" si="2"/>
        <v>0.60361788113874959</v>
      </c>
      <c r="U35" s="145">
        <f t="shared" si="2"/>
        <v>0</v>
      </c>
      <c r="V35" s="145">
        <f t="shared" si="2"/>
        <v>0</v>
      </c>
      <c r="W35" s="145">
        <f t="shared" si="2"/>
        <v>0</v>
      </c>
      <c r="X35" s="145">
        <f t="shared" si="2"/>
        <v>0</v>
      </c>
      <c r="Y35" s="145">
        <f t="shared" si="2"/>
        <v>0</v>
      </c>
      <c r="Z35" s="145">
        <f t="shared" si="2"/>
        <v>0</v>
      </c>
      <c r="AA35" s="145">
        <f t="shared" si="2"/>
        <v>0</v>
      </c>
      <c r="AB35" s="145">
        <f t="shared" si="2"/>
        <v>0</v>
      </c>
      <c r="AT35" s="3"/>
    </row>
    <row r="36" spans="4:46" x14ac:dyDescent="0.25">
      <c r="D36" s="32"/>
      <c r="AT36" s="3"/>
    </row>
    <row r="37" spans="4:46" x14ac:dyDescent="0.25">
      <c r="E37" s="32" t="s">
        <v>432</v>
      </c>
      <c r="I37" t="s">
        <v>153</v>
      </c>
      <c r="AD37" t="s">
        <v>427</v>
      </c>
      <c r="AT37" s="3"/>
    </row>
    <row r="38" spans="4:46" x14ac:dyDescent="0.25">
      <c r="E38" s="29" t="s">
        <v>433</v>
      </c>
    </row>
    <row r="39" spans="4:46" x14ac:dyDescent="0.25">
      <c r="F39" s="28" t="s">
        <v>434</v>
      </c>
      <c r="G39" s="28" t="s">
        <v>208</v>
      </c>
      <c r="J39" s="146" t="b">
        <f>'Fixed inputs'!J105</f>
        <v>0</v>
      </c>
      <c r="K39" s="146" t="b">
        <f>'Fixed inputs'!K105</f>
        <v>0</v>
      </c>
      <c r="L39" s="146" t="b">
        <f>'Fixed inputs'!L105</f>
        <v>0</v>
      </c>
      <c r="M39" s="146" t="b">
        <f>'Fixed inputs'!M105</f>
        <v>0</v>
      </c>
      <c r="N39" s="146" t="b">
        <f>'Fixed inputs'!N105</f>
        <v>0</v>
      </c>
      <c r="O39" s="146" t="b">
        <f>'Fixed inputs'!O105</f>
        <v>0</v>
      </c>
      <c r="P39" s="146" t="b">
        <f>'Fixed inputs'!P105</f>
        <v>0</v>
      </c>
      <c r="Q39" s="146" t="b">
        <f>'Fixed inputs'!Q105</f>
        <v>0</v>
      </c>
      <c r="R39" s="146" t="b">
        <f>'Fixed inputs'!R105</f>
        <v>0</v>
      </c>
      <c r="S39" s="146" t="b">
        <f>'Fixed inputs'!S105</f>
        <v>0</v>
      </c>
      <c r="T39" s="146" t="b">
        <f>'Fixed inputs'!T105</f>
        <v>0</v>
      </c>
      <c r="U39" s="146" t="b">
        <f>'Fixed inputs'!U105</f>
        <v>1</v>
      </c>
      <c r="V39" s="146" t="b">
        <f>'Fixed inputs'!V105</f>
        <v>1</v>
      </c>
      <c r="W39" s="146" t="b">
        <f>'Fixed inputs'!W105</f>
        <v>1</v>
      </c>
      <c r="X39" s="146" t="b">
        <f>'Fixed inputs'!X105</f>
        <v>1</v>
      </c>
      <c r="Y39" s="146" t="b">
        <f>'Fixed inputs'!Y105</f>
        <v>1</v>
      </c>
      <c r="Z39" s="146" t="b">
        <f>'Fixed inputs'!Z105</f>
        <v>1</v>
      </c>
      <c r="AA39" s="146" t="b">
        <f>'Fixed inputs'!AA105</f>
        <v>1</v>
      </c>
      <c r="AB39" s="146" t="b">
        <f>'Fixed inputs'!AB105</f>
        <v>1</v>
      </c>
      <c r="AT39" s="3"/>
    </row>
    <row r="40" spans="4:46" x14ac:dyDescent="0.25">
      <c r="F40" s="28" t="s">
        <v>435</v>
      </c>
      <c r="G40" s="28" t="s">
        <v>208</v>
      </c>
      <c r="J40" s="146" t="b">
        <f>'Fixed inputs'!J109</f>
        <v>0</v>
      </c>
      <c r="K40" s="146" t="b">
        <f>'Fixed inputs'!K109</f>
        <v>0</v>
      </c>
      <c r="L40" s="146" t="b">
        <f>'Fixed inputs'!L109</f>
        <v>0</v>
      </c>
      <c r="M40" s="146" t="b">
        <f>'Fixed inputs'!M109</f>
        <v>0</v>
      </c>
      <c r="N40" s="146" t="b">
        <f>'Fixed inputs'!N109</f>
        <v>0</v>
      </c>
      <c r="O40" s="146" t="b">
        <f>'Fixed inputs'!O109</f>
        <v>0</v>
      </c>
      <c r="P40" s="146" t="b">
        <f>'Fixed inputs'!P109</f>
        <v>0</v>
      </c>
      <c r="Q40" s="146" t="b">
        <f>'Fixed inputs'!Q109</f>
        <v>0</v>
      </c>
      <c r="R40" s="146" t="b">
        <f>'Fixed inputs'!R109</f>
        <v>0</v>
      </c>
      <c r="S40" s="146" t="b">
        <f>'Fixed inputs'!S109</f>
        <v>0</v>
      </c>
      <c r="T40" s="146" t="b">
        <f>'Fixed inputs'!T109</f>
        <v>0</v>
      </c>
      <c r="U40" s="146" t="b">
        <f>'Fixed inputs'!U109</f>
        <v>1</v>
      </c>
      <c r="V40" s="146" t="b">
        <f>'Fixed inputs'!V109</f>
        <v>1</v>
      </c>
      <c r="W40" s="146" t="b">
        <f>'Fixed inputs'!W109</f>
        <v>1</v>
      </c>
      <c r="X40" s="146" t="b">
        <f>'Fixed inputs'!X109</f>
        <v>1</v>
      </c>
      <c r="Y40" s="146" t="b">
        <f>'Fixed inputs'!Y109</f>
        <v>1</v>
      </c>
      <c r="Z40" s="146" t="b">
        <f>'Fixed inputs'!Z109</f>
        <v>1</v>
      </c>
      <c r="AA40" s="146" t="b">
        <f>'Fixed inputs'!AA109</f>
        <v>1</v>
      </c>
      <c r="AB40" s="146" t="b">
        <f>'Fixed inputs'!AB109</f>
        <v>1</v>
      </c>
      <c r="AT40" s="3"/>
    </row>
    <row r="41" spans="4:46" x14ac:dyDescent="0.25">
      <c r="F41" s="28" t="s">
        <v>436</v>
      </c>
      <c r="G41" s="28" t="s">
        <v>208</v>
      </c>
      <c r="J41" s="146" t="b">
        <f>'Fixed inputs'!J113</f>
        <v>0</v>
      </c>
      <c r="K41" s="146" t="b">
        <f>'Fixed inputs'!K113</f>
        <v>0</v>
      </c>
      <c r="L41" s="146" t="b">
        <f>'Fixed inputs'!L113</f>
        <v>0</v>
      </c>
      <c r="M41" s="146" t="b">
        <f>'Fixed inputs'!M113</f>
        <v>0</v>
      </c>
      <c r="N41" s="146" t="b">
        <f>'Fixed inputs'!N113</f>
        <v>0</v>
      </c>
      <c r="O41" s="146" t="b">
        <f>'Fixed inputs'!O113</f>
        <v>0</v>
      </c>
      <c r="P41" s="146" t="b">
        <f>'Fixed inputs'!P113</f>
        <v>0</v>
      </c>
      <c r="Q41" s="146" t="b">
        <f>'Fixed inputs'!Q113</f>
        <v>0</v>
      </c>
      <c r="R41" s="146" t="b">
        <f>'Fixed inputs'!R113</f>
        <v>0</v>
      </c>
      <c r="S41" s="146" t="b">
        <f>'Fixed inputs'!S113</f>
        <v>0</v>
      </c>
      <c r="T41" s="146" t="b">
        <f>'Fixed inputs'!T113</f>
        <v>0</v>
      </c>
      <c r="U41" s="146" t="b">
        <f>'Fixed inputs'!U113</f>
        <v>1</v>
      </c>
      <c r="V41" s="146" t="b">
        <f>'Fixed inputs'!V113</f>
        <v>1</v>
      </c>
      <c r="W41" s="146" t="b">
        <f>'Fixed inputs'!W113</f>
        <v>1</v>
      </c>
      <c r="X41" s="146" t="b">
        <f>'Fixed inputs'!X113</f>
        <v>1</v>
      </c>
      <c r="Y41" s="146" t="b">
        <f>'Fixed inputs'!Y113</f>
        <v>1</v>
      </c>
      <c r="Z41" s="146" t="b">
        <f>'Fixed inputs'!Z113</f>
        <v>1</v>
      </c>
      <c r="AA41" s="146" t="b">
        <f>'Fixed inputs'!AA113</f>
        <v>1</v>
      </c>
      <c r="AB41" s="146" t="b">
        <f>'Fixed inputs'!AB113</f>
        <v>1</v>
      </c>
      <c r="AT41" s="3"/>
    </row>
    <row r="42" spans="4:46" x14ac:dyDescent="0.25">
      <c r="F42" s="28" t="s">
        <v>437</v>
      </c>
      <c r="G42" s="28" t="s">
        <v>208</v>
      </c>
      <c r="J42" s="146" t="b">
        <f>'Fixed inputs'!J117</f>
        <v>0</v>
      </c>
      <c r="K42" s="146" t="b">
        <f>'Fixed inputs'!K117</f>
        <v>0</v>
      </c>
      <c r="L42" s="146" t="b">
        <f>'Fixed inputs'!L117</f>
        <v>0</v>
      </c>
      <c r="M42" s="146" t="b">
        <f>'Fixed inputs'!M117</f>
        <v>0</v>
      </c>
      <c r="N42" s="146" t="b">
        <f>'Fixed inputs'!N117</f>
        <v>0</v>
      </c>
      <c r="O42" s="146" t="b">
        <f>'Fixed inputs'!O117</f>
        <v>0</v>
      </c>
      <c r="P42" s="146" t="b">
        <f>'Fixed inputs'!P117</f>
        <v>0</v>
      </c>
      <c r="Q42" s="146" t="b">
        <f>'Fixed inputs'!Q117</f>
        <v>0</v>
      </c>
      <c r="R42" s="146" t="b">
        <f>'Fixed inputs'!R117</f>
        <v>0</v>
      </c>
      <c r="S42" s="146" t="b">
        <f>'Fixed inputs'!S117</f>
        <v>0</v>
      </c>
      <c r="T42" s="146" t="b">
        <f>'Fixed inputs'!T117</f>
        <v>0</v>
      </c>
      <c r="U42" s="146" t="b">
        <f>'Fixed inputs'!U117</f>
        <v>1</v>
      </c>
      <c r="V42" s="146" t="b">
        <f>'Fixed inputs'!V117</f>
        <v>1</v>
      </c>
      <c r="W42" s="146" t="b">
        <f>'Fixed inputs'!W117</f>
        <v>1</v>
      </c>
      <c r="X42" s="146" t="b">
        <f>'Fixed inputs'!X117</f>
        <v>1</v>
      </c>
      <c r="Y42" s="146" t="b">
        <f>'Fixed inputs'!Y117</f>
        <v>1</v>
      </c>
      <c r="Z42" s="146" t="b">
        <f>'Fixed inputs'!Z117</f>
        <v>1</v>
      </c>
      <c r="AA42" s="146" t="b">
        <f>'Fixed inputs'!AA117</f>
        <v>1</v>
      </c>
      <c r="AB42" s="146" t="b">
        <f>'Fixed inputs'!AB117</f>
        <v>1</v>
      </c>
      <c r="AT42" s="3"/>
    </row>
    <row r="43" spans="4:46" x14ac:dyDescent="0.25">
      <c r="F43" s="28" t="s">
        <v>438</v>
      </c>
      <c r="G43" s="28" t="s">
        <v>208</v>
      </c>
      <c r="J43" s="146" t="b">
        <f>'Fixed inputs'!J121</f>
        <v>0</v>
      </c>
      <c r="K43" s="146" t="b">
        <f>'Fixed inputs'!K121</f>
        <v>0</v>
      </c>
      <c r="L43" s="146" t="b">
        <f>'Fixed inputs'!L121</f>
        <v>0</v>
      </c>
      <c r="M43" s="146" t="b">
        <f>'Fixed inputs'!M121</f>
        <v>0</v>
      </c>
      <c r="N43" s="146" t="b">
        <f>'Fixed inputs'!N121</f>
        <v>0</v>
      </c>
      <c r="O43" s="146" t="b">
        <f>'Fixed inputs'!O121</f>
        <v>0</v>
      </c>
      <c r="P43" s="146" t="b">
        <f>'Fixed inputs'!P121</f>
        <v>0</v>
      </c>
      <c r="Q43" s="146" t="b">
        <f>'Fixed inputs'!Q121</f>
        <v>0</v>
      </c>
      <c r="R43" s="146" t="b">
        <f>'Fixed inputs'!R121</f>
        <v>0</v>
      </c>
      <c r="S43" s="146" t="b">
        <f>'Fixed inputs'!S121</f>
        <v>0</v>
      </c>
      <c r="T43" s="146" t="b">
        <f>'Fixed inputs'!T121</f>
        <v>0</v>
      </c>
      <c r="U43" s="146" t="b">
        <f>'Fixed inputs'!U121</f>
        <v>1</v>
      </c>
      <c r="V43" s="146" t="b">
        <f>'Fixed inputs'!V121</f>
        <v>1</v>
      </c>
      <c r="W43" s="146" t="b">
        <f>'Fixed inputs'!W121</f>
        <v>1</v>
      </c>
      <c r="X43" s="146" t="b">
        <f>'Fixed inputs'!X121</f>
        <v>1</v>
      </c>
      <c r="Y43" s="146" t="b">
        <f>'Fixed inputs'!Y121</f>
        <v>1</v>
      </c>
      <c r="Z43" s="146" t="b">
        <f>'Fixed inputs'!Z121</f>
        <v>1</v>
      </c>
      <c r="AA43" s="146" t="b">
        <f>'Fixed inputs'!AA121</f>
        <v>1</v>
      </c>
      <c r="AB43" s="146" t="b">
        <f>'Fixed inputs'!AB121</f>
        <v>1</v>
      </c>
      <c r="AT43" s="3"/>
    </row>
    <row r="44" spans="4:46" x14ac:dyDescent="0.25">
      <c r="D44" s="32"/>
      <c r="AT44" s="3"/>
    </row>
    <row r="45" spans="4:46" x14ac:dyDescent="0.25">
      <c r="F45" s="28" t="s">
        <v>439</v>
      </c>
      <c r="G45" s="28" t="s">
        <v>166</v>
      </c>
      <c r="J45" s="25">
        <f>'Fixed inputs'!J106</f>
        <v>0</v>
      </c>
      <c r="K45" s="25">
        <f>'Fixed inputs'!K106</f>
        <v>0</v>
      </c>
      <c r="L45" s="25">
        <f>'Fixed inputs'!L106</f>
        <v>0</v>
      </c>
      <c r="M45" s="25">
        <f>'Fixed inputs'!M106</f>
        <v>0</v>
      </c>
      <c r="N45" s="25">
        <f>'Fixed inputs'!N106</f>
        <v>0</v>
      </c>
      <c r="O45" s="25">
        <f>'Fixed inputs'!O106</f>
        <v>0</v>
      </c>
      <c r="P45" s="25">
        <f>'Fixed inputs'!P106</f>
        <v>0</v>
      </c>
      <c r="Q45" s="25">
        <f>'Fixed inputs'!Q106</f>
        <v>0</v>
      </c>
      <c r="R45" s="25">
        <f>'Fixed inputs'!R106</f>
        <v>0</v>
      </c>
      <c r="S45" s="25">
        <f>'Fixed inputs'!S106</f>
        <v>0</v>
      </c>
      <c r="T45" s="25">
        <f>'Fixed inputs'!T106</f>
        <v>0</v>
      </c>
      <c r="U45" s="25">
        <f>'Fixed inputs'!U106</f>
        <v>0</v>
      </c>
      <c r="V45" s="25">
        <f>'Fixed inputs'!V106</f>
        <v>0</v>
      </c>
      <c r="W45" s="25">
        <f>'Fixed inputs'!W106</f>
        <v>0</v>
      </c>
      <c r="X45" s="25">
        <f>'Fixed inputs'!X106</f>
        <v>0</v>
      </c>
      <c r="Y45" s="25">
        <f>'Fixed inputs'!Y106</f>
        <v>0</v>
      </c>
      <c r="Z45" s="25">
        <f>'Fixed inputs'!Z106</f>
        <v>0</v>
      </c>
      <c r="AA45" s="25">
        <f>'Fixed inputs'!AA106</f>
        <v>0</v>
      </c>
      <c r="AB45" s="25">
        <f>'Fixed inputs'!AB106</f>
        <v>0</v>
      </c>
      <c r="AT45" s="3"/>
    </row>
    <row r="46" spans="4:46" x14ac:dyDescent="0.25">
      <c r="F46" s="28" t="s">
        <v>440</v>
      </c>
      <c r="G46" s="28" t="s">
        <v>166</v>
      </c>
      <c r="J46" s="25">
        <f>'Fixed inputs'!J110</f>
        <v>0</v>
      </c>
      <c r="K46" s="25">
        <f>'Fixed inputs'!K110</f>
        <v>0</v>
      </c>
      <c r="L46" s="25">
        <f>'Fixed inputs'!L110</f>
        <v>0</v>
      </c>
      <c r="M46" s="25">
        <f>'Fixed inputs'!M110</f>
        <v>0</v>
      </c>
      <c r="N46" s="25">
        <f>'Fixed inputs'!N110</f>
        <v>0</v>
      </c>
      <c r="O46" s="25">
        <f>'Fixed inputs'!O110</f>
        <v>0</v>
      </c>
      <c r="P46" s="25">
        <f>'Fixed inputs'!P110</f>
        <v>0</v>
      </c>
      <c r="Q46" s="25">
        <f>'Fixed inputs'!Q110</f>
        <v>0</v>
      </c>
      <c r="R46" s="25">
        <f>'Fixed inputs'!R110</f>
        <v>0</v>
      </c>
      <c r="S46" s="25">
        <f>'Fixed inputs'!S110</f>
        <v>0</v>
      </c>
      <c r="T46" s="25">
        <f>'Fixed inputs'!T110</f>
        <v>0</v>
      </c>
      <c r="U46" s="25">
        <f>'Fixed inputs'!U110</f>
        <v>1</v>
      </c>
      <c r="V46" s="25">
        <f>'Fixed inputs'!V110</f>
        <v>1</v>
      </c>
      <c r="W46" s="25">
        <f>'Fixed inputs'!W110</f>
        <v>1</v>
      </c>
      <c r="X46" s="25">
        <f>'Fixed inputs'!X110</f>
        <v>1</v>
      </c>
      <c r="Y46" s="25">
        <f>'Fixed inputs'!Y110</f>
        <v>1</v>
      </c>
      <c r="Z46" s="25">
        <f>'Fixed inputs'!Z110</f>
        <v>1</v>
      </c>
      <c r="AA46" s="25">
        <f>'Fixed inputs'!AA110</f>
        <v>1</v>
      </c>
      <c r="AB46" s="25">
        <f>'Fixed inputs'!AB110</f>
        <v>1</v>
      </c>
      <c r="AT46" s="3"/>
    </row>
    <row r="47" spans="4:46" x14ac:dyDescent="0.25">
      <c r="F47" s="28" t="s">
        <v>441</v>
      </c>
      <c r="G47" s="28" t="s">
        <v>166</v>
      </c>
      <c r="J47" s="25">
        <f>'Fixed inputs'!J114</f>
        <v>0</v>
      </c>
      <c r="K47" s="25">
        <f>'Fixed inputs'!K114</f>
        <v>0</v>
      </c>
      <c r="L47" s="25">
        <f>'Fixed inputs'!L114</f>
        <v>0</v>
      </c>
      <c r="M47" s="25">
        <f>'Fixed inputs'!M114</f>
        <v>0</v>
      </c>
      <c r="N47" s="25">
        <f>'Fixed inputs'!N114</f>
        <v>0</v>
      </c>
      <c r="O47" s="25">
        <f>'Fixed inputs'!O114</f>
        <v>0</v>
      </c>
      <c r="P47" s="25">
        <f>'Fixed inputs'!P114</f>
        <v>0</v>
      </c>
      <c r="Q47" s="25">
        <f>'Fixed inputs'!Q114</f>
        <v>0</v>
      </c>
      <c r="R47" s="25">
        <f>'Fixed inputs'!R114</f>
        <v>0</v>
      </c>
      <c r="S47" s="25">
        <f>'Fixed inputs'!S114</f>
        <v>0</v>
      </c>
      <c r="T47" s="25">
        <f>'Fixed inputs'!T114</f>
        <v>0</v>
      </c>
      <c r="U47" s="25">
        <f>'Fixed inputs'!U114</f>
        <v>0</v>
      </c>
      <c r="V47" s="25">
        <f>'Fixed inputs'!V114</f>
        <v>0</v>
      </c>
      <c r="W47" s="25">
        <f>'Fixed inputs'!W114</f>
        <v>0</v>
      </c>
      <c r="X47" s="25">
        <f>'Fixed inputs'!X114</f>
        <v>0</v>
      </c>
      <c r="Y47" s="25">
        <f>'Fixed inputs'!Y114</f>
        <v>0</v>
      </c>
      <c r="Z47" s="25">
        <f>'Fixed inputs'!Z114</f>
        <v>0</v>
      </c>
      <c r="AA47" s="25">
        <f>'Fixed inputs'!AA114</f>
        <v>0</v>
      </c>
      <c r="AB47" s="25">
        <f>'Fixed inputs'!AB114</f>
        <v>0</v>
      </c>
      <c r="AT47" s="3"/>
    </row>
    <row r="48" spans="4:46" x14ac:dyDescent="0.25">
      <c r="F48" s="28" t="s">
        <v>442</v>
      </c>
      <c r="G48" s="28" t="s">
        <v>166</v>
      </c>
      <c r="J48" s="25">
        <f>'Fixed inputs'!J118</f>
        <v>0</v>
      </c>
      <c r="K48" s="25">
        <f>'Fixed inputs'!K118</f>
        <v>0</v>
      </c>
      <c r="L48" s="25">
        <f>'Fixed inputs'!L118</f>
        <v>0</v>
      </c>
      <c r="M48" s="25">
        <f>'Fixed inputs'!M118</f>
        <v>0</v>
      </c>
      <c r="N48" s="25">
        <f>'Fixed inputs'!N118</f>
        <v>0</v>
      </c>
      <c r="O48" s="25">
        <f>'Fixed inputs'!O118</f>
        <v>0</v>
      </c>
      <c r="P48" s="25">
        <f>'Fixed inputs'!P118</f>
        <v>0</v>
      </c>
      <c r="Q48" s="25">
        <f>'Fixed inputs'!Q118</f>
        <v>0</v>
      </c>
      <c r="R48" s="25">
        <f>'Fixed inputs'!R118</f>
        <v>0</v>
      </c>
      <c r="S48" s="25">
        <f>'Fixed inputs'!S118</f>
        <v>0</v>
      </c>
      <c r="T48" s="25">
        <f>'Fixed inputs'!T118</f>
        <v>0</v>
      </c>
      <c r="U48" s="25">
        <f>'Fixed inputs'!U118</f>
        <v>0</v>
      </c>
      <c r="V48" s="25">
        <f>'Fixed inputs'!V118</f>
        <v>0</v>
      </c>
      <c r="W48" s="25">
        <f>'Fixed inputs'!W118</f>
        <v>0</v>
      </c>
      <c r="X48" s="25">
        <f>'Fixed inputs'!X118</f>
        <v>0</v>
      </c>
      <c r="Y48" s="25">
        <f>'Fixed inputs'!Y118</f>
        <v>0</v>
      </c>
      <c r="Z48" s="25">
        <f>'Fixed inputs'!Z118</f>
        <v>0</v>
      </c>
      <c r="AA48" s="25">
        <f>'Fixed inputs'!AA118</f>
        <v>0</v>
      </c>
      <c r="AB48" s="25">
        <f>'Fixed inputs'!AB118</f>
        <v>0</v>
      </c>
      <c r="AT48" s="3"/>
    </row>
    <row r="49" spans="2:46" x14ac:dyDescent="0.25">
      <c r="F49" s="28" t="s">
        <v>443</v>
      </c>
      <c r="G49" s="28" t="s">
        <v>166</v>
      </c>
      <c r="J49" s="25">
        <f>'Fixed inputs'!J122</f>
        <v>0</v>
      </c>
      <c r="K49" s="25">
        <f>'Fixed inputs'!K122</f>
        <v>0</v>
      </c>
      <c r="L49" s="25">
        <f>'Fixed inputs'!L122</f>
        <v>0</v>
      </c>
      <c r="M49" s="25">
        <f>'Fixed inputs'!M122</f>
        <v>0</v>
      </c>
      <c r="N49" s="25">
        <f>'Fixed inputs'!N122</f>
        <v>0</v>
      </c>
      <c r="O49" s="25">
        <f>'Fixed inputs'!O122</f>
        <v>0</v>
      </c>
      <c r="P49" s="25">
        <f>'Fixed inputs'!P122</f>
        <v>0</v>
      </c>
      <c r="Q49" s="25">
        <f>'Fixed inputs'!Q122</f>
        <v>0</v>
      </c>
      <c r="R49" s="25">
        <f>'Fixed inputs'!R122</f>
        <v>0</v>
      </c>
      <c r="S49" s="25">
        <f>'Fixed inputs'!S122</f>
        <v>0</v>
      </c>
      <c r="T49" s="25">
        <f>'Fixed inputs'!T122</f>
        <v>0</v>
      </c>
      <c r="U49" s="25">
        <f>'Fixed inputs'!U122</f>
        <v>0</v>
      </c>
      <c r="V49" s="25">
        <f>'Fixed inputs'!V122</f>
        <v>0</v>
      </c>
      <c r="W49" s="25">
        <f>'Fixed inputs'!W122</f>
        <v>0</v>
      </c>
      <c r="X49" s="25">
        <f>'Fixed inputs'!X122</f>
        <v>0</v>
      </c>
      <c r="Y49" s="25">
        <f>'Fixed inputs'!Y122</f>
        <v>0</v>
      </c>
      <c r="Z49" s="25">
        <f>'Fixed inputs'!Z122</f>
        <v>0</v>
      </c>
      <c r="AA49" s="25">
        <f>'Fixed inputs'!AA122</f>
        <v>0</v>
      </c>
      <c r="AB49" s="25">
        <f>'Fixed inputs'!AB122</f>
        <v>0</v>
      </c>
      <c r="AT49" s="3"/>
    </row>
    <row r="50" spans="2:46" x14ac:dyDescent="0.25">
      <c r="C50" s="32"/>
      <c r="AT50" s="3"/>
    </row>
    <row r="51" spans="2:46" x14ac:dyDescent="0.25">
      <c r="B51" s="30" t="s">
        <v>444</v>
      </c>
      <c r="C51" s="30"/>
      <c r="D51" s="30"/>
      <c r="E51" s="30"/>
      <c r="F51" s="30"/>
      <c r="G51" s="30"/>
      <c r="H51" s="30"/>
      <c r="I51" s="30"/>
      <c r="J51" s="30"/>
      <c r="K51" s="30"/>
      <c r="L51" s="30"/>
      <c r="M51" s="30"/>
      <c r="N51" s="30"/>
      <c r="O51" s="30"/>
      <c r="P51" s="30"/>
      <c r="Q51" s="30"/>
      <c r="R51" s="30"/>
      <c r="S51" s="30"/>
      <c r="T51" s="30"/>
      <c r="U51" s="30"/>
      <c r="V51" s="30"/>
      <c r="W51" s="30"/>
      <c r="X51" s="30"/>
      <c r="Y51" s="30"/>
      <c r="Z51" s="30"/>
      <c r="AA51" s="30"/>
      <c r="AB51" s="30"/>
      <c r="AC51" s="30"/>
      <c r="AD51" s="30"/>
      <c r="AF51" s="30"/>
      <c r="AG51" s="30"/>
      <c r="AH51" s="30"/>
      <c r="AI51" s="30"/>
      <c r="AJ51" s="30"/>
      <c r="AK51" s="30"/>
      <c r="AL51" s="30"/>
      <c r="AM51" s="30"/>
      <c r="AN51" s="30"/>
      <c r="AO51" s="30"/>
      <c r="AP51" s="30"/>
      <c r="AQ51" s="30"/>
      <c r="AR51" s="30"/>
      <c r="AT51" s="30"/>
    </row>
    <row r="52" spans="2:46" x14ac:dyDescent="0.25">
      <c r="C52" s="32"/>
      <c r="AT52" s="3"/>
    </row>
    <row r="53" spans="2:46" x14ac:dyDescent="0.25">
      <c r="C53" s="29" t="s">
        <v>445</v>
      </c>
      <c r="AT53" s="3"/>
    </row>
    <row r="54" spans="2:46" x14ac:dyDescent="0.25">
      <c r="C54" s="32"/>
      <c r="AT54" s="3"/>
    </row>
    <row r="55" spans="2:46" x14ac:dyDescent="0.25">
      <c r="C55" s="31" t="str">
        <f ca="1">INDEX('Version control'!$H$34:$H$57,MATCH($A$1,'Version control'!$F$34:$F$57,0),1)&amp;"-B: Volume discounting"</f>
        <v>Section 104-B: Volume discounting</v>
      </c>
      <c r="D55" s="31"/>
      <c r="E55" s="31"/>
      <c r="F55" s="31"/>
      <c r="G55" s="31"/>
      <c r="H55" s="31"/>
      <c r="I55" s="31"/>
      <c r="J55" s="31"/>
      <c r="K55" s="31"/>
      <c r="L55" s="31"/>
      <c r="M55" s="31"/>
      <c r="N55" s="31"/>
      <c r="O55" s="31"/>
      <c r="P55" s="31"/>
      <c r="Q55" s="31"/>
      <c r="R55" s="31"/>
      <c r="S55" s="31"/>
      <c r="T55" s="31"/>
      <c r="U55" s="31"/>
      <c r="V55" s="31"/>
      <c r="W55" s="31"/>
      <c r="X55" s="31"/>
      <c r="Y55" s="31"/>
      <c r="Z55" s="31"/>
      <c r="AA55" s="31"/>
      <c r="AB55" s="31"/>
      <c r="AC55" s="31"/>
      <c r="AD55" s="31"/>
      <c r="AT55" s="3"/>
    </row>
    <row r="56" spans="2:46" x14ac:dyDescent="0.25">
      <c r="C56" s="32"/>
      <c r="AT56" s="3"/>
    </row>
    <row r="57" spans="2:46" x14ac:dyDescent="0.25">
      <c r="C57" s="29"/>
      <c r="E57" s="32" t="s">
        <v>155</v>
      </c>
      <c r="I57" t="s">
        <v>153</v>
      </c>
      <c r="AD57" t="s">
        <v>308</v>
      </c>
      <c r="AT57" s="3"/>
    </row>
    <row r="58" spans="2:46" x14ac:dyDescent="0.25">
      <c r="C58" s="29"/>
      <c r="E58" s="32"/>
      <c r="AT58" s="3"/>
    </row>
    <row r="59" spans="2:46" x14ac:dyDescent="0.25">
      <c r="F59" s="28" t="s">
        <v>446</v>
      </c>
      <c r="G59" s="28" t="s">
        <v>206</v>
      </c>
      <c r="J59" s="120">
        <f>'Inputs by customer type'!J21</f>
        <v>728182.66484023235</v>
      </c>
      <c r="K59" s="120">
        <f>'Inputs by customer type'!K21</f>
        <v>1325.9025558238502</v>
      </c>
      <c r="L59" s="120">
        <f>'Inputs by customer type'!L21</f>
        <v>187782.12741331305</v>
      </c>
      <c r="M59" s="120">
        <f>'Inputs by customer type'!M21</f>
        <v>4172.2410596369182</v>
      </c>
      <c r="N59" s="120">
        <f>'Inputs by customer type'!N21</f>
        <v>275821.76887612289</v>
      </c>
      <c r="O59" s="120">
        <f>'Inputs by customer type'!O21</f>
        <v>21569.598912405832</v>
      </c>
      <c r="P59" s="120">
        <f>'Inputs by customer type'!P21</f>
        <v>322473.77411167003</v>
      </c>
      <c r="Q59" s="120">
        <f>'Inputs by customer type'!Q21</f>
        <v>0</v>
      </c>
      <c r="R59" s="120">
        <f>'Inputs by customer type'!R21</f>
        <v>0</v>
      </c>
      <c r="S59" s="120">
        <f>'Inputs by customer type'!S21</f>
        <v>0</v>
      </c>
      <c r="T59" s="120">
        <f>'Inputs by customer type'!T21</f>
        <v>13844.286088792498</v>
      </c>
      <c r="U59" s="120">
        <f>'Inputs by customer type'!U21</f>
        <v>139.21456342227521</v>
      </c>
      <c r="V59" s="120">
        <f>'Inputs by customer type'!V21</f>
        <v>2.8776284544589532</v>
      </c>
      <c r="W59" s="120">
        <f>'Inputs by customer type'!W21</f>
        <v>6131.3814104814819</v>
      </c>
      <c r="X59" s="120">
        <f>'Inputs by customer type'!X21</f>
        <v>0</v>
      </c>
      <c r="Y59" s="120">
        <f>'Inputs by customer type'!Y21</f>
        <v>144.6141525623608</v>
      </c>
      <c r="Z59" s="120">
        <f>'Inputs by customer type'!Z21</f>
        <v>0</v>
      </c>
      <c r="AA59" s="120">
        <f>'Inputs by customer type'!AA21</f>
        <v>116075.81817719914</v>
      </c>
      <c r="AB59" s="120">
        <f>'Inputs by customer type'!AB21</f>
        <v>0</v>
      </c>
      <c r="AT59" s="3"/>
    </row>
    <row r="60" spans="2:46" x14ac:dyDescent="0.25">
      <c r="F60" s="28" t="s">
        <v>447</v>
      </c>
      <c r="G60" s="28" t="s">
        <v>206</v>
      </c>
      <c r="J60" s="120">
        <f>'Inputs by customer type'!J30</f>
        <v>13713.32246963591</v>
      </c>
      <c r="K60" s="120">
        <f>'Inputs by customer type'!K30</f>
        <v>1.3981029513384524</v>
      </c>
      <c r="L60" s="120">
        <f>'Inputs by customer type'!L30</f>
        <v>601.04321517970027</v>
      </c>
      <c r="M60" s="120">
        <f>'Inputs by customer type'!M30</f>
        <v>0</v>
      </c>
      <c r="N60" s="120">
        <f>'Inputs by customer type'!N30</f>
        <v>1596.4649999999999</v>
      </c>
      <c r="O60" s="120">
        <f>'Inputs by customer type'!O30</f>
        <v>0</v>
      </c>
      <c r="P60" s="120">
        <f>'Inputs by customer type'!P30</f>
        <v>0</v>
      </c>
      <c r="Q60" s="120">
        <f>'Inputs by customer type'!Q30</f>
        <v>0</v>
      </c>
      <c r="R60" s="120">
        <f>'Inputs by customer type'!R30</f>
        <v>0</v>
      </c>
      <c r="S60" s="120">
        <f>'Inputs by customer type'!S30</f>
        <v>0</v>
      </c>
      <c r="T60" s="120">
        <f>'Inputs by customer type'!T30</f>
        <v>20.430032150505486</v>
      </c>
      <c r="U60" s="120">
        <f>'Inputs by customer type'!U30</f>
        <v>0.57025605316046324</v>
      </c>
      <c r="V60" s="120">
        <f>'Inputs by customer type'!V30</f>
        <v>0</v>
      </c>
      <c r="W60" s="120">
        <f>'Inputs by customer type'!W30</f>
        <v>0</v>
      </c>
      <c r="X60" s="120">
        <f>'Inputs by customer type'!X30</f>
        <v>0</v>
      </c>
      <c r="Y60" s="120">
        <f>'Inputs by customer type'!Y30</f>
        <v>0</v>
      </c>
      <c r="Z60" s="120">
        <f>'Inputs by customer type'!Z30</f>
        <v>0</v>
      </c>
      <c r="AA60" s="120">
        <f>'Inputs by customer type'!AA30</f>
        <v>0</v>
      </c>
      <c r="AB60" s="120">
        <f>'Inputs by customer type'!AB30</f>
        <v>0</v>
      </c>
      <c r="AT60" s="3"/>
    </row>
    <row r="61" spans="2:46" x14ac:dyDescent="0.25">
      <c r="F61" s="28" t="s">
        <v>448</v>
      </c>
      <c r="G61" s="28" t="s">
        <v>206</v>
      </c>
      <c r="J61" s="120">
        <f>'Inputs by customer type'!J39</f>
        <v>20104.099696926573</v>
      </c>
      <c r="K61" s="120">
        <f>'Inputs by customer type'!K39</f>
        <v>2.0480897481131533</v>
      </c>
      <c r="L61" s="120">
        <f>'Inputs by customer type'!L39</f>
        <v>2081.7354094794059</v>
      </c>
      <c r="M61" s="120">
        <f>'Inputs by customer type'!M39</f>
        <v>0</v>
      </c>
      <c r="N61" s="120">
        <f>'Inputs by customer type'!N39</f>
        <v>13322.004999999999</v>
      </c>
      <c r="O61" s="120">
        <f>'Inputs by customer type'!O39</f>
        <v>2210.538</v>
      </c>
      <c r="P61" s="120">
        <f>'Inputs by customer type'!P39</f>
        <v>5129.4559999999992</v>
      </c>
      <c r="Q61" s="120">
        <f>'Inputs by customer type'!Q39</f>
        <v>0</v>
      </c>
      <c r="R61" s="120">
        <f>'Inputs by customer type'!R39</f>
        <v>0</v>
      </c>
      <c r="S61" s="120">
        <f>'Inputs by customer type'!S39</f>
        <v>0</v>
      </c>
      <c r="T61" s="120">
        <f>'Inputs by customer type'!T39</f>
        <v>30.879361230900383</v>
      </c>
      <c r="U61" s="120">
        <f>'Inputs by customer type'!U39</f>
        <v>0.25597879022110009</v>
      </c>
      <c r="V61" s="120">
        <f>'Inputs by customer type'!V39</f>
        <v>0</v>
      </c>
      <c r="W61" s="120">
        <f>'Inputs by customer type'!W39</f>
        <v>0</v>
      </c>
      <c r="X61" s="120">
        <f>'Inputs by customer type'!X39</f>
        <v>0</v>
      </c>
      <c r="Y61" s="120">
        <f>'Inputs by customer type'!Y39</f>
        <v>0</v>
      </c>
      <c r="Z61" s="120">
        <f>'Inputs by customer type'!Z39</f>
        <v>0</v>
      </c>
      <c r="AA61" s="120">
        <f>'Inputs by customer type'!AA39</f>
        <v>0</v>
      </c>
      <c r="AB61" s="120">
        <f>'Inputs by customer type'!AB39</f>
        <v>0</v>
      </c>
      <c r="AT61" s="3"/>
    </row>
    <row r="62" spans="2:46" x14ac:dyDescent="0.25">
      <c r="F62" s="28" t="s">
        <v>449</v>
      </c>
      <c r="G62" s="28" t="s">
        <v>166</v>
      </c>
      <c r="J62" s="111">
        <f t="shared" ref="J62:AB62" si="4">IF(J$39, J$45, J$34)</f>
        <v>0.39067242808448932</v>
      </c>
      <c r="K62" s="111">
        <f t="shared" si="4"/>
        <v>0.39067242808448932</v>
      </c>
      <c r="L62" s="111">
        <f t="shared" si="4"/>
        <v>0.39067242808448932</v>
      </c>
      <c r="M62" s="111">
        <f t="shared" si="4"/>
        <v>0.39067242808448932</v>
      </c>
      <c r="N62" s="111">
        <f t="shared" si="4"/>
        <v>0.39067242808448932</v>
      </c>
      <c r="O62" s="111">
        <f t="shared" si="4"/>
        <v>0</v>
      </c>
      <c r="P62" s="111">
        <f t="shared" si="4"/>
        <v>0</v>
      </c>
      <c r="Q62" s="111">
        <f t="shared" si="4"/>
        <v>0.39067242808448932</v>
      </c>
      <c r="R62" s="111">
        <f t="shared" si="4"/>
        <v>0</v>
      </c>
      <c r="S62" s="111">
        <f t="shared" si="4"/>
        <v>0</v>
      </c>
      <c r="T62" s="111">
        <f t="shared" si="4"/>
        <v>0.39067242808448932</v>
      </c>
      <c r="U62" s="111">
        <f t="shared" si="4"/>
        <v>0</v>
      </c>
      <c r="V62" s="111">
        <f t="shared" si="4"/>
        <v>0</v>
      </c>
      <c r="W62" s="111">
        <f t="shared" si="4"/>
        <v>0</v>
      </c>
      <c r="X62" s="111">
        <f t="shared" si="4"/>
        <v>0</v>
      </c>
      <c r="Y62" s="111">
        <f t="shared" si="4"/>
        <v>0</v>
      </c>
      <c r="Z62" s="111">
        <f t="shared" si="4"/>
        <v>0</v>
      </c>
      <c r="AA62" s="111">
        <f t="shared" si="4"/>
        <v>0</v>
      </c>
      <c r="AB62" s="111">
        <f t="shared" si="4"/>
        <v>0</v>
      </c>
      <c r="AT62" s="3"/>
    </row>
    <row r="63" spans="2:46" x14ac:dyDescent="0.25">
      <c r="F63" s="28" t="s">
        <v>450</v>
      </c>
      <c r="G63" s="28" t="s">
        <v>166</v>
      </c>
      <c r="J63" s="111">
        <f t="shared" ref="J63:AB63" si="5">IF(J$39, J$45, J$35)</f>
        <v>0.60361788113874959</v>
      </c>
      <c r="K63" s="111">
        <f t="shared" si="5"/>
        <v>0.60361788113874959</v>
      </c>
      <c r="L63" s="111">
        <f t="shared" si="5"/>
        <v>0.60361788113874959</v>
      </c>
      <c r="M63" s="111">
        <f t="shared" si="5"/>
        <v>0.60361788113874959</v>
      </c>
      <c r="N63" s="111">
        <f t="shared" si="5"/>
        <v>0.60361788113874959</v>
      </c>
      <c r="O63" s="111">
        <f t="shared" si="5"/>
        <v>0.34819248571328243</v>
      </c>
      <c r="P63" s="111">
        <f t="shared" si="5"/>
        <v>0.25174009320591562</v>
      </c>
      <c r="Q63" s="111">
        <f t="shared" si="5"/>
        <v>0.60361788113874959</v>
      </c>
      <c r="R63" s="111">
        <f t="shared" si="5"/>
        <v>0.34819248571328243</v>
      </c>
      <c r="S63" s="111">
        <f t="shared" si="5"/>
        <v>0.25174009320591562</v>
      </c>
      <c r="T63" s="111">
        <f t="shared" si="5"/>
        <v>0.60361788113874959</v>
      </c>
      <c r="U63" s="111">
        <f t="shared" si="5"/>
        <v>0</v>
      </c>
      <c r="V63" s="111">
        <f t="shared" si="5"/>
        <v>0</v>
      </c>
      <c r="W63" s="111">
        <f t="shared" si="5"/>
        <v>0</v>
      </c>
      <c r="X63" s="111">
        <f t="shared" si="5"/>
        <v>0</v>
      </c>
      <c r="Y63" s="111">
        <f t="shared" si="5"/>
        <v>0</v>
      </c>
      <c r="Z63" s="111">
        <f t="shared" si="5"/>
        <v>0</v>
      </c>
      <c r="AA63" s="111">
        <f t="shared" si="5"/>
        <v>0</v>
      </c>
      <c r="AB63" s="111">
        <f t="shared" si="5"/>
        <v>0</v>
      </c>
      <c r="AT63" s="3"/>
    </row>
    <row r="64" spans="2:46" x14ac:dyDescent="0.25">
      <c r="F64" s="28" t="s">
        <v>451</v>
      </c>
      <c r="G64" s="28" t="s">
        <v>206</v>
      </c>
      <c r="J64" s="98">
        <f t="shared" ref="J64:AB64" si="6">J60 * (1 - J62)</f>
        <v>8355.9054833176633</v>
      </c>
      <c r="K64" s="98">
        <f t="shared" si="6"/>
        <v>0.85190267662696861</v>
      </c>
      <c r="L64" s="98">
        <f t="shared" si="6"/>
        <v>366.23220292173858</v>
      </c>
      <c r="M64" s="98">
        <f t="shared" si="6"/>
        <v>0</v>
      </c>
      <c r="N64" s="98">
        <f t="shared" si="6"/>
        <v>972.77014209809568</v>
      </c>
      <c r="O64" s="98">
        <f t="shared" si="6"/>
        <v>0</v>
      </c>
      <c r="P64" s="98">
        <f t="shared" si="6"/>
        <v>0</v>
      </c>
      <c r="Q64" s="98">
        <f t="shared" ref="Q64:S64" si="7">Q60 * (1 - Q62)</f>
        <v>0</v>
      </c>
      <c r="R64" s="98">
        <f t="shared" si="7"/>
        <v>0</v>
      </c>
      <c r="S64" s="98">
        <f t="shared" si="7"/>
        <v>0</v>
      </c>
      <c r="T64" s="98">
        <f t="shared" si="6"/>
        <v>12.448581884423326</v>
      </c>
      <c r="U64" s="98">
        <f t="shared" si="6"/>
        <v>0.57025605316046324</v>
      </c>
      <c r="V64" s="98">
        <f t="shared" si="6"/>
        <v>0</v>
      </c>
      <c r="W64" s="98">
        <f t="shared" si="6"/>
        <v>0</v>
      </c>
      <c r="X64" s="98">
        <f t="shared" si="6"/>
        <v>0</v>
      </c>
      <c r="Y64" s="98">
        <f t="shared" si="6"/>
        <v>0</v>
      </c>
      <c r="Z64" s="98">
        <f t="shared" si="6"/>
        <v>0</v>
      </c>
      <c r="AA64" s="98">
        <f t="shared" si="6"/>
        <v>0</v>
      </c>
      <c r="AB64" s="98">
        <f t="shared" si="6"/>
        <v>0</v>
      </c>
      <c r="AT64" s="3"/>
    </row>
    <row r="65" spans="5:46" x14ac:dyDescent="0.25">
      <c r="F65" s="67" t="s">
        <v>452</v>
      </c>
      <c r="G65" s="67" t="s">
        <v>206</v>
      </c>
      <c r="H65" s="37"/>
      <c r="I65" s="37"/>
      <c r="J65" s="100">
        <f t="shared" ref="J65:AB65" si="8">J61 * (1 - J63)</f>
        <v>7968.9056356655774</v>
      </c>
      <c r="K65" s="100">
        <f t="shared" si="8"/>
        <v>0.81182615397509628</v>
      </c>
      <c r="L65" s="100">
        <f t="shared" si="8"/>
        <v>825.16269251793972</v>
      </c>
      <c r="M65" s="100">
        <f t="shared" si="8"/>
        <v>0</v>
      </c>
      <c r="N65" s="100">
        <f t="shared" si="8"/>
        <v>5280.6045693801716</v>
      </c>
      <c r="O65" s="100">
        <f t="shared" si="8"/>
        <v>1440.8452790163321</v>
      </c>
      <c r="P65" s="100">
        <f t="shared" si="8"/>
        <v>3838.1662684643561</v>
      </c>
      <c r="Q65" s="100">
        <f t="shared" ref="Q65:S65" si="9">Q61 * (1 - Q63)</f>
        <v>0</v>
      </c>
      <c r="R65" s="100">
        <f t="shared" si="9"/>
        <v>0</v>
      </c>
      <c r="S65" s="100">
        <f t="shared" si="9"/>
        <v>0</v>
      </c>
      <c r="T65" s="100">
        <f t="shared" si="8"/>
        <v>12.240026633786243</v>
      </c>
      <c r="U65" s="100">
        <f t="shared" si="8"/>
        <v>0.25597879022110009</v>
      </c>
      <c r="V65" s="100">
        <f t="shared" si="8"/>
        <v>0</v>
      </c>
      <c r="W65" s="100">
        <f t="shared" si="8"/>
        <v>0</v>
      </c>
      <c r="X65" s="100">
        <f t="shared" si="8"/>
        <v>0</v>
      </c>
      <c r="Y65" s="100">
        <f t="shared" si="8"/>
        <v>0</v>
      </c>
      <c r="Z65" s="100">
        <f t="shared" si="8"/>
        <v>0</v>
      </c>
      <c r="AA65" s="100">
        <f t="shared" si="8"/>
        <v>0</v>
      </c>
      <c r="AB65" s="100">
        <f t="shared" si="8"/>
        <v>0</v>
      </c>
      <c r="AT65" s="3"/>
    </row>
    <row r="66" spans="5:46" x14ac:dyDescent="0.25">
      <c r="F66" s="28" t="s">
        <v>453</v>
      </c>
      <c r="G66" s="28" t="s">
        <v>206</v>
      </c>
      <c r="J66" s="121">
        <f t="shared" ref="J66:AB66" si="10">J59 + J64 + J65</f>
        <v>744507.47595921555</v>
      </c>
      <c r="K66" s="121">
        <f t="shared" si="10"/>
        <v>1327.5662846544521</v>
      </c>
      <c r="L66" s="121">
        <f t="shared" si="10"/>
        <v>188973.52230875273</v>
      </c>
      <c r="M66" s="121">
        <f t="shared" si="10"/>
        <v>4172.2410596369182</v>
      </c>
      <c r="N66" s="121">
        <f t="shared" si="10"/>
        <v>282075.14358760114</v>
      </c>
      <c r="O66" s="121">
        <f t="shared" si="10"/>
        <v>23010.444191422164</v>
      </c>
      <c r="P66" s="121">
        <f t="shared" si="10"/>
        <v>326311.94038013439</v>
      </c>
      <c r="Q66" s="121">
        <f t="shared" ref="Q66:S66" si="11">Q59 + Q64 + Q65</f>
        <v>0</v>
      </c>
      <c r="R66" s="121">
        <f t="shared" si="11"/>
        <v>0</v>
      </c>
      <c r="S66" s="121">
        <f t="shared" si="11"/>
        <v>0</v>
      </c>
      <c r="T66" s="121">
        <f t="shared" si="10"/>
        <v>13868.974697310709</v>
      </c>
      <c r="U66" s="121">
        <f t="shared" si="10"/>
        <v>140.04079826565675</v>
      </c>
      <c r="V66" s="121">
        <f t="shared" si="10"/>
        <v>2.8776284544589532</v>
      </c>
      <c r="W66" s="121">
        <f t="shared" si="10"/>
        <v>6131.3814104814819</v>
      </c>
      <c r="X66" s="121">
        <f t="shared" si="10"/>
        <v>0</v>
      </c>
      <c r="Y66" s="121">
        <f t="shared" si="10"/>
        <v>144.6141525623608</v>
      </c>
      <c r="Z66" s="121">
        <f t="shared" si="10"/>
        <v>0</v>
      </c>
      <c r="AA66" s="121">
        <f t="shared" si="10"/>
        <v>116075.81817719914</v>
      </c>
      <c r="AB66" s="121">
        <f t="shared" si="10"/>
        <v>0</v>
      </c>
      <c r="AT66" s="3"/>
    </row>
    <row r="67" spans="5:46" x14ac:dyDescent="0.25">
      <c r="E67" s="32"/>
      <c r="J67" s="89"/>
      <c r="K67" s="89"/>
      <c r="L67" s="89"/>
      <c r="M67" s="89"/>
      <c r="N67" s="89"/>
      <c r="O67" s="89"/>
      <c r="P67" s="89"/>
      <c r="Q67" s="89"/>
      <c r="R67" s="89"/>
      <c r="S67" s="89"/>
      <c r="T67" s="89"/>
      <c r="U67" s="89"/>
      <c r="V67" s="89"/>
      <c r="W67" s="89"/>
      <c r="X67" s="89"/>
      <c r="Y67" s="89"/>
      <c r="Z67" s="89"/>
      <c r="AA67" s="89"/>
      <c r="AB67" s="89"/>
      <c r="AT67" s="3"/>
    </row>
    <row r="68" spans="5:46" x14ac:dyDescent="0.25">
      <c r="E68" s="32" t="s">
        <v>156</v>
      </c>
      <c r="I68" t="s">
        <v>153</v>
      </c>
      <c r="J68" s="89"/>
      <c r="K68" s="89"/>
      <c r="L68" s="89"/>
      <c r="M68" s="89"/>
      <c r="N68" s="89"/>
      <c r="O68" s="89"/>
      <c r="P68" s="89"/>
      <c r="Q68" s="89"/>
      <c r="R68" s="89"/>
      <c r="S68" s="89"/>
      <c r="T68" s="89"/>
      <c r="U68" s="89"/>
      <c r="V68" s="89"/>
      <c r="W68" s="89"/>
      <c r="X68" s="89"/>
      <c r="Y68" s="89"/>
      <c r="Z68" s="89"/>
      <c r="AA68" s="89"/>
      <c r="AB68" s="89"/>
      <c r="AD68" t="s">
        <v>308</v>
      </c>
      <c r="AT68" s="3"/>
    </row>
    <row r="69" spans="5:46" x14ac:dyDescent="0.25">
      <c r="E69" s="32"/>
      <c r="J69" s="89"/>
      <c r="K69" s="89"/>
      <c r="L69" s="89"/>
      <c r="M69" s="89"/>
      <c r="N69" s="89"/>
      <c r="O69" s="89"/>
      <c r="P69" s="89"/>
      <c r="Q69" s="89"/>
      <c r="R69" s="89"/>
      <c r="S69" s="89"/>
      <c r="T69" s="89"/>
      <c r="U69" s="89"/>
      <c r="V69" s="89"/>
      <c r="W69" s="89"/>
      <c r="X69" s="89"/>
      <c r="Y69" s="89"/>
      <c r="Z69" s="89"/>
      <c r="AA69" s="89"/>
      <c r="AB69" s="89"/>
      <c r="AT69" s="3"/>
    </row>
    <row r="70" spans="5:46" x14ac:dyDescent="0.25">
      <c r="F70" s="28" t="s">
        <v>446</v>
      </c>
      <c r="G70" s="28" t="s">
        <v>206</v>
      </c>
      <c r="J70" s="120">
        <f>'Inputs by customer type'!J22</f>
        <v>2586978.352218715</v>
      </c>
      <c r="K70" s="120">
        <f>'Inputs by customer type'!K22</f>
        <v>24004.867020018988</v>
      </c>
      <c r="L70" s="120">
        <f>'Inputs by customer type'!L22</f>
        <v>1017175.5544889377</v>
      </c>
      <c r="M70" s="120">
        <f>'Inputs by customer type'!M22</f>
        <v>25319.415482001521</v>
      </c>
      <c r="N70" s="120">
        <f>'Inputs by customer type'!N22</f>
        <v>1322296.4326402938</v>
      </c>
      <c r="O70" s="120">
        <f>'Inputs by customer type'!O22</f>
        <v>101185.04898982702</v>
      </c>
      <c r="P70" s="120">
        <f>'Inputs by customer type'!P22</f>
        <v>1497042.8901385467</v>
      </c>
      <c r="Q70" s="120">
        <f>'Inputs by customer type'!Q22</f>
        <v>0</v>
      </c>
      <c r="R70" s="120">
        <f>'Inputs by customer type'!R22</f>
        <v>0</v>
      </c>
      <c r="S70" s="120">
        <f>'Inputs by customer type'!S22</f>
        <v>0</v>
      </c>
      <c r="T70" s="120">
        <f>'Inputs by customer type'!T22</f>
        <v>52546.80809158679</v>
      </c>
      <c r="U70" s="120">
        <f>'Inputs by customer type'!U22</f>
        <v>625.58915267962095</v>
      </c>
      <c r="V70" s="120">
        <f>'Inputs by customer type'!V22</f>
        <v>11.85801478940583</v>
      </c>
      <c r="W70" s="120">
        <f>'Inputs by customer type'!W22</f>
        <v>27525.456251959484</v>
      </c>
      <c r="X70" s="120">
        <f>'Inputs by customer type'!X22</f>
        <v>0</v>
      </c>
      <c r="Y70" s="120">
        <f>'Inputs by customer type'!Y22</f>
        <v>597.34783091345412</v>
      </c>
      <c r="Z70" s="120">
        <f>'Inputs by customer type'!Z22</f>
        <v>0</v>
      </c>
      <c r="AA70" s="120">
        <f>'Inputs by customer type'!AA22</f>
        <v>445212.43930388504</v>
      </c>
      <c r="AB70" s="120">
        <f>'Inputs by customer type'!AB22</f>
        <v>0</v>
      </c>
      <c r="AT70" s="3"/>
    </row>
    <row r="71" spans="5:46" x14ac:dyDescent="0.25">
      <c r="F71" s="28" t="s">
        <v>447</v>
      </c>
      <c r="G71" s="28" t="s">
        <v>206</v>
      </c>
      <c r="J71" s="120">
        <f>'Inputs by customer type'!J31</f>
        <v>48809.781090218552</v>
      </c>
      <c r="K71" s="120">
        <f>'Inputs by customer type'!K31</f>
        <v>25.329659479528413</v>
      </c>
      <c r="L71" s="120">
        <f>'Inputs by customer type'!L31</f>
        <v>3253.025245448257</v>
      </c>
      <c r="M71" s="120">
        <f>'Inputs by customer type'!M31</f>
        <v>0</v>
      </c>
      <c r="N71" s="120">
        <f>'Inputs by customer type'!N31</f>
        <v>7155.5069999999996</v>
      </c>
      <c r="O71" s="120">
        <f>'Inputs by customer type'!O31</f>
        <v>0</v>
      </c>
      <c r="P71" s="120">
        <f>'Inputs by customer type'!P31</f>
        <v>0</v>
      </c>
      <c r="Q71" s="120">
        <f>'Inputs by customer type'!Q31</f>
        <v>0</v>
      </c>
      <c r="R71" s="120">
        <f>'Inputs by customer type'!R31</f>
        <v>0</v>
      </c>
      <c r="S71" s="120">
        <f>'Inputs by customer type'!S31</f>
        <v>0</v>
      </c>
      <c r="T71" s="120">
        <f>'Inputs by customer type'!T31</f>
        <v>273.96068150852608</v>
      </c>
      <c r="U71" s="120">
        <f>'Inputs by customer type'!U31</f>
        <v>2.0830307980493821</v>
      </c>
      <c r="V71" s="120">
        <f>'Inputs by customer type'!V31</f>
        <v>0</v>
      </c>
      <c r="W71" s="120">
        <f>'Inputs by customer type'!W31</f>
        <v>0</v>
      </c>
      <c r="X71" s="120">
        <f>'Inputs by customer type'!X31</f>
        <v>0</v>
      </c>
      <c r="Y71" s="120">
        <f>'Inputs by customer type'!Y31</f>
        <v>0</v>
      </c>
      <c r="Z71" s="120">
        <f>'Inputs by customer type'!Z31</f>
        <v>0</v>
      </c>
      <c r="AA71" s="120">
        <f>'Inputs by customer type'!AA31</f>
        <v>0</v>
      </c>
      <c r="AB71" s="120">
        <f>'Inputs by customer type'!AB31</f>
        <v>0</v>
      </c>
      <c r="AT71" s="3"/>
    </row>
    <row r="72" spans="5:46" x14ac:dyDescent="0.25">
      <c r="F72" s="28" t="s">
        <v>448</v>
      </c>
      <c r="G72" s="28" t="s">
        <v>206</v>
      </c>
      <c r="J72" s="120">
        <f>'Inputs by customer type'!J40</f>
        <v>71593.395504093525</v>
      </c>
      <c r="K72" s="120">
        <f>'Inputs by customer type'!K40</f>
        <v>37.263746671521595</v>
      </c>
      <c r="L72" s="120">
        <f>'Inputs by customer type'!L40</f>
        <v>11268.104540991542</v>
      </c>
      <c r="M72" s="120">
        <f>'Inputs by customer type'!M40</f>
        <v>0</v>
      </c>
      <c r="N72" s="120">
        <f>'Inputs by customer type'!N40</f>
        <v>59210.165999999997</v>
      </c>
      <c r="O72" s="120">
        <f>'Inputs by customer type'!O40</f>
        <v>9690.4299999999985</v>
      </c>
      <c r="P72" s="120">
        <f>'Inputs by customer type'!P40</f>
        <v>23108.695</v>
      </c>
      <c r="Q72" s="120">
        <f>'Inputs by customer type'!Q40</f>
        <v>0</v>
      </c>
      <c r="R72" s="120">
        <f>'Inputs by customer type'!R40</f>
        <v>0</v>
      </c>
      <c r="S72" s="120">
        <f>'Inputs by customer type'!S40</f>
        <v>0</v>
      </c>
      <c r="T72" s="120">
        <f>'Inputs by customer type'!T40</f>
        <v>425.49872061278865</v>
      </c>
      <c r="U72" s="120">
        <f>'Inputs by customer type'!U40</f>
        <v>0.94265200118290493</v>
      </c>
      <c r="V72" s="120">
        <f>'Inputs by customer type'!V40</f>
        <v>0</v>
      </c>
      <c r="W72" s="120">
        <f>'Inputs by customer type'!W40</f>
        <v>0</v>
      </c>
      <c r="X72" s="120">
        <f>'Inputs by customer type'!X40</f>
        <v>0</v>
      </c>
      <c r="Y72" s="120">
        <f>'Inputs by customer type'!Y40</f>
        <v>0</v>
      </c>
      <c r="Z72" s="120">
        <f>'Inputs by customer type'!Z40</f>
        <v>0</v>
      </c>
      <c r="AA72" s="120">
        <f>'Inputs by customer type'!AA40</f>
        <v>0</v>
      </c>
      <c r="AB72" s="120">
        <f>'Inputs by customer type'!AB40</f>
        <v>0</v>
      </c>
      <c r="AT72" s="3"/>
    </row>
    <row r="73" spans="5:46" x14ac:dyDescent="0.25">
      <c r="F73" s="28" t="s">
        <v>449</v>
      </c>
      <c r="G73" s="28" t="s">
        <v>166</v>
      </c>
      <c r="J73" s="111">
        <f t="shared" ref="J73:AB73" si="12">IF(J$39, J$45, J$34)</f>
        <v>0.39067242808448932</v>
      </c>
      <c r="K73" s="111">
        <f t="shared" si="12"/>
        <v>0.39067242808448932</v>
      </c>
      <c r="L73" s="111">
        <f t="shared" si="12"/>
        <v>0.39067242808448932</v>
      </c>
      <c r="M73" s="111">
        <f t="shared" si="12"/>
        <v>0.39067242808448932</v>
      </c>
      <c r="N73" s="111">
        <f t="shared" si="12"/>
        <v>0.39067242808448932</v>
      </c>
      <c r="O73" s="111">
        <f t="shared" si="12"/>
        <v>0</v>
      </c>
      <c r="P73" s="111">
        <f t="shared" si="12"/>
        <v>0</v>
      </c>
      <c r="Q73" s="111">
        <f t="shared" si="12"/>
        <v>0.39067242808448932</v>
      </c>
      <c r="R73" s="111">
        <f t="shared" si="12"/>
        <v>0</v>
      </c>
      <c r="S73" s="111">
        <f t="shared" si="12"/>
        <v>0</v>
      </c>
      <c r="T73" s="111">
        <f t="shared" si="12"/>
        <v>0.39067242808448932</v>
      </c>
      <c r="U73" s="111">
        <f t="shared" si="12"/>
        <v>0</v>
      </c>
      <c r="V73" s="111">
        <f t="shared" si="12"/>
        <v>0</v>
      </c>
      <c r="W73" s="111">
        <f t="shared" si="12"/>
        <v>0</v>
      </c>
      <c r="X73" s="111">
        <f t="shared" si="12"/>
        <v>0</v>
      </c>
      <c r="Y73" s="111">
        <f t="shared" si="12"/>
        <v>0</v>
      </c>
      <c r="Z73" s="111">
        <f t="shared" si="12"/>
        <v>0</v>
      </c>
      <c r="AA73" s="111">
        <f t="shared" si="12"/>
        <v>0</v>
      </c>
      <c r="AB73" s="111">
        <f t="shared" si="12"/>
        <v>0</v>
      </c>
      <c r="AT73" s="3"/>
    </row>
    <row r="74" spans="5:46" x14ac:dyDescent="0.25">
      <c r="F74" s="28" t="s">
        <v>450</v>
      </c>
      <c r="G74" s="28" t="s">
        <v>166</v>
      </c>
      <c r="J74" s="111">
        <f t="shared" ref="J74:AB74" si="13">IF(J$39, J$45, J$35)</f>
        <v>0.60361788113874959</v>
      </c>
      <c r="K74" s="111">
        <f t="shared" si="13"/>
        <v>0.60361788113874959</v>
      </c>
      <c r="L74" s="111">
        <f t="shared" si="13"/>
        <v>0.60361788113874959</v>
      </c>
      <c r="M74" s="111">
        <f t="shared" si="13"/>
        <v>0.60361788113874959</v>
      </c>
      <c r="N74" s="111">
        <f t="shared" si="13"/>
        <v>0.60361788113874959</v>
      </c>
      <c r="O74" s="111">
        <f t="shared" si="13"/>
        <v>0.34819248571328243</v>
      </c>
      <c r="P74" s="111">
        <f t="shared" si="13"/>
        <v>0.25174009320591562</v>
      </c>
      <c r="Q74" s="111">
        <f t="shared" si="13"/>
        <v>0.60361788113874959</v>
      </c>
      <c r="R74" s="111">
        <f t="shared" si="13"/>
        <v>0.34819248571328243</v>
      </c>
      <c r="S74" s="111">
        <f t="shared" si="13"/>
        <v>0.25174009320591562</v>
      </c>
      <c r="T74" s="111">
        <f t="shared" si="13"/>
        <v>0.60361788113874959</v>
      </c>
      <c r="U74" s="111">
        <f t="shared" si="13"/>
        <v>0</v>
      </c>
      <c r="V74" s="111">
        <f t="shared" si="13"/>
        <v>0</v>
      </c>
      <c r="W74" s="111">
        <f t="shared" si="13"/>
        <v>0</v>
      </c>
      <c r="X74" s="111">
        <f t="shared" si="13"/>
        <v>0</v>
      </c>
      <c r="Y74" s="111">
        <f t="shared" si="13"/>
        <v>0</v>
      </c>
      <c r="Z74" s="111">
        <f t="shared" si="13"/>
        <v>0</v>
      </c>
      <c r="AA74" s="111">
        <f t="shared" si="13"/>
        <v>0</v>
      </c>
      <c r="AB74" s="111">
        <f t="shared" si="13"/>
        <v>0</v>
      </c>
      <c r="AT74" s="3"/>
    </row>
    <row r="75" spans="5:46" x14ac:dyDescent="0.25">
      <c r="F75" s="28" t="s">
        <v>451</v>
      </c>
      <c r="G75" s="28" t="s">
        <v>206</v>
      </c>
      <c r="J75" s="98">
        <f t="shared" ref="J75:AB75" si="14">J71 * (1 - J73)</f>
        <v>29741.145397430479</v>
      </c>
      <c r="K75" s="98">
        <f t="shared" si="14"/>
        <v>15.434059908107745</v>
      </c>
      <c r="L75" s="98">
        <f t="shared" si="14"/>
        <v>1982.1579741888445</v>
      </c>
      <c r="M75" s="98">
        <f t="shared" si="14"/>
        <v>0</v>
      </c>
      <c r="N75" s="98">
        <f t="shared" si="14"/>
        <v>4360.04770613444</v>
      </c>
      <c r="O75" s="98">
        <f t="shared" si="14"/>
        <v>0</v>
      </c>
      <c r="P75" s="98">
        <f t="shared" si="14"/>
        <v>0</v>
      </c>
      <c r="Q75" s="98">
        <f t="shared" ref="Q75:S75" si="15">Q71 * (1 - Q73)</f>
        <v>0</v>
      </c>
      <c r="R75" s="98">
        <f t="shared" si="15"/>
        <v>0</v>
      </c>
      <c r="S75" s="98">
        <f t="shared" si="15"/>
        <v>0</v>
      </c>
      <c r="T75" s="98">
        <f t="shared" si="14"/>
        <v>166.93179686390874</v>
      </c>
      <c r="U75" s="98">
        <f t="shared" si="14"/>
        <v>2.0830307980493821</v>
      </c>
      <c r="V75" s="98">
        <f t="shared" si="14"/>
        <v>0</v>
      </c>
      <c r="W75" s="98">
        <f t="shared" si="14"/>
        <v>0</v>
      </c>
      <c r="X75" s="98">
        <f t="shared" si="14"/>
        <v>0</v>
      </c>
      <c r="Y75" s="98">
        <f t="shared" si="14"/>
        <v>0</v>
      </c>
      <c r="Z75" s="98">
        <f t="shared" si="14"/>
        <v>0</v>
      </c>
      <c r="AA75" s="98">
        <f t="shared" si="14"/>
        <v>0</v>
      </c>
      <c r="AB75" s="98">
        <f t="shared" si="14"/>
        <v>0</v>
      </c>
      <c r="AT75" s="3"/>
    </row>
    <row r="76" spans="5:46" x14ac:dyDescent="0.25">
      <c r="F76" s="67" t="s">
        <v>452</v>
      </c>
      <c r="G76" s="67" t="s">
        <v>206</v>
      </c>
      <c r="H76" s="37"/>
      <c r="I76" s="37"/>
      <c r="J76" s="100">
        <f t="shared" ref="J76:AB76" si="16">J72 * (1 - J74)</f>
        <v>28378.341806384109</v>
      </c>
      <c r="K76" s="100">
        <f t="shared" si="16"/>
        <v>14.770682862366597</v>
      </c>
      <c r="L76" s="100">
        <f t="shared" si="16"/>
        <v>4466.4751535083051</v>
      </c>
      <c r="M76" s="100">
        <f t="shared" si="16"/>
        <v>0</v>
      </c>
      <c r="N76" s="100">
        <f t="shared" si="16"/>
        <v>23469.851057206368</v>
      </c>
      <c r="O76" s="100">
        <f t="shared" si="16"/>
        <v>6316.2950906694359</v>
      </c>
      <c r="P76" s="100">
        <f t="shared" si="16"/>
        <v>17291.309966832923</v>
      </c>
      <c r="Q76" s="100">
        <f t="shared" ref="Q76:S76" si="17">Q72 * (1 - Q74)</f>
        <v>0</v>
      </c>
      <c r="R76" s="100">
        <f t="shared" si="17"/>
        <v>0</v>
      </c>
      <c r="S76" s="100">
        <f t="shared" si="17"/>
        <v>0</v>
      </c>
      <c r="T76" s="100">
        <f t="shared" si="16"/>
        <v>168.66008444924836</v>
      </c>
      <c r="U76" s="100">
        <f t="shared" si="16"/>
        <v>0.94265200118290493</v>
      </c>
      <c r="V76" s="100">
        <f t="shared" si="16"/>
        <v>0</v>
      </c>
      <c r="W76" s="100">
        <f t="shared" si="16"/>
        <v>0</v>
      </c>
      <c r="X76" s="100">
        <f t="shared" si="16"/>
        <v>0</v>
      </c>
      <c r="Y76" s="100">
        <f t="shared" si="16"/>
        <v>0</v>
      </c>
      <c r="Z76" s="100">
        <f t="shared" si="16"/>
        <v>0</v>
      </c>
      <c r="AA76" s="100">
        <f t="shared" si="16"/>
        <v>0</v>
      </c>
      <c r="AB76" s="100">
        <f t="shared" si="16"/>
        <v>0</v>
      </c>
      <c r="AT76" s="3"/>
    </row>
    <row r="77" spans="5:46" x14ac:dyDescent="0.25">
      <c r="F77" s="28" t="s">
        <v>453</v>
      </c>
      <c r="G77" s="28" t="s">
        <v>206</v>
      </c>
      <c r="J77" s="121">
        <f t="shared" ref="J77:AB77" si="18">J70 + J75 + J76</f>
        <v>2645097.8394225296</v>
      </c>
      <c r="K77" s="121">
        <f t="shared" si="18"/>
        <v>24035.071762789463</v>
      </c>
      <c r="L77" s="121">
        <f t="shared" si="18"/>
        <v>1023624.1876166349</v>
      </c>
      <c r="M77" s="121">
        <f t="shared" si="18"/>
        <v>25319.415482001521</v>
      </c>
      <c r="N77" s="121">
        <f t="shared" si="18"/>
        <v>1350126.3314036345</v>
      </c>
      <c r="O77" s="121">
        <f t="shared" si="18"/>
        <v>107501.34408049645</v>
      </c>
      <c r="P77" s="121">
        <f t="shared" si="18"/>
        <v>1514334.2001053796</v>
      </c>
      <c r="Q77" s="121">
        <f t="shared" ref="Q77:S77" si="19">Q70 + Q75 + Q76</f>
        <v>0</v>
      </c>
      <c r="R77" s="121">
        <f t="shared" si="19"/>
        <v>0</v>
      </c>
      <c r="S77" s="121">
        <f t="shared" si="19"/>
        <v>0</v>
      </c>
      <c r="T77" s="121">
        <f t="shared" si="18"/>
        <v>52882.399972899948</v>
      </c>
      <c r="U77" s="121">
        <f t="shared" si="18"/>
        <v>628.61483547885325</v>
      </c>
      <c r="V77" s="121">
        <f t="shared" si="18"/>
        <v>11.85801478940583</v>
      </c>
      <c r="W77" s="121">
        <f t="shared" si="18"/>
        <v>27525.456251959484</v>
      </c>
      <c r="X77" s="121">
        <f t="shared" si="18"/>
        <v>0</v>
      </c>
      <c r="Y77" s="121">
        <f t="shared" si="18"/>
        <v>597.34783091345412</v>
      </c>
      <c r="Z77" s="121">
        <f t="shared" si="18"/>
        <v>0</v>
      </c>
      <c r="AA77" s="121">
        <f t="shared" si="18"/>
        <v>445212.43930388504</v>
      </c>
      <c r="AB77" s="121">
        <f t="shared" si="18"/>
        <v>0</v>
      </c>
      <c r="AT77" s="3"/>
    </row>
    <row r="78" spans="5:46" x14ac:dyDescent="0.25">
      <c r="E78" s="32"/>
      <c r="J78" s="89"/>
      <c r="K78" s="89"/>
      <c r="L78" s="89"/>
      <c r="M78" s="89"/>
      <c r="N78" s="89"/>
      <c r="O78" s="89"/>
      <c r="P78" s="89"/>
      <c r="Q78" s="89"/>
      <c r="R78" s="89"/>
      <c r="S78" s="89"/>
      <c r="T78" s="89"/>
      <c r="U78" s="89"/>
      <c r="V78" s="89"/>
      <c r="W78" s="89"/>
      <c r="X78" s="89"/>
      <c r="Y78" s="89"/>
      <c r="Z78" s="89"/>
      <c r="AA78" s="89"/>
      <c r="AB78" s="89"/>
      <c r="AT78" s="3"/>
    </row>
    <row r="79" spans="5:46" x14ac:dyDescent="0.25">
      <c r="E79" s="32" t="s">
        <v>157</v>
      </c>
      <c r="I79" t="s">
        <v>153</v>
      </c>
      <c r="J79" s="89"/>
      <c r="K79" s="89"/>
      <c r="L79" s="89"/>
      <c r="M79" s="89"/>
      <c r="N79" s="89"/>
      <c r="O79" s="89"/>
      <c r="P79" s="89"/>
      <c r="Q79" s="89"/>
      <c r="R79" s="89"/>
      <c r="S79" s="89"/>
      <c r="T79" s="89"/>
      <c r="U79" s="89"/>
      <c r="V79" s="89"/>
      <c r="W79" s="89"/>
      <c r="X79" s="89"/>
      <c r="Y79" s="89"/>
      <c r="Z79" s="89"/>
      <c r="AA79" s="89"/>
      <c r="AB79" s="89"/>
      <c r="AD79" t="s">
        <v>308</v>
      </c>
      <c r="AT79" s="3"/>
    </row>
    <row r="80" spans="5:46" x14ac:dyDescent="0.25">
      <c r="E80" s="32"/>
      <c r="J80" s="89"/>
      <c r="K80" s="89"/>
      <c r="L80" s="89"/>
      <c r="M80" s="89"/>
      <c r="N80" s="89"/>
      <c r="O80" s="89"/>
      <c r="P80" s="89"/>
      <c r="Q80" s="89"/>
      <c r="R80" s="89"/>
      <c r="S80" s="89"/>
      <c r="T80" s="89"/>
      <c r="U80" s="89"/>
      <c r="V80" s="89"/>
      <c r="W80" s="89"/>
      <c r="X80" s="89"/>
      <c r="Y80" s="89"/>
      <c r="Z80" s="89"/>
      <c r="AA80" s="89"/>
      <c r="AB80" s="89"/>
      <c r="AT80" s="3"/>
    </row>
    <row r="81" spans="5:46" x14ac:dyDescent="0.25">
      <c r="F81" s="28" t="s">
        <v>446</v>
      </c>
      <c r="G81" s="28" t="s">
        <v>206</v>
      </c>
      <c r="J81" s="120">
        <f>'Inputs by customer type'!J23</f>
        <v>2382458.5766185289</v>
      </c>
      <c r="K81" s="120">
        <f>'Inputs by customer type'!K23</f>
        <v>245208.33115400965</v>
      </c>
      <c r="L81" s="120">
        <f>'Inputs by customer type'!L23</f>
        <v>982488.05164342187</v>
      </c>
      <c r="M81" s="120">
        <f>'Inputs by customer type'!M23</f>
        <v>52561.158034119573</v>
      </c>
      <c r="N81" s="120">
        <f>'Inputs by customer type'!N23</f>
        <v>1154944.2406044872</v>
      </c>
      <c r="O81" s="120">
        <f>'Inputs by customer type'!O23</f>
        <v>100898.01610776718</v>
      </c>
      <c r="P81" s="120">
        <f>'Inputs by customer type'!P23</f>
        <v>1602377.0319897835</v>
      </c>
      <c r="Q81" s="120">
        <f>'Inputs by customer type'!Q23</f>
        <v>0</v>
      </c>
      <c r="R81" s="120">
        <f>'Inputs by customer type'!R23</f>
        <v>0</v>
      </c>
      <c r="S81" s="120">
        <f>'Inputs by customer type'!S23</f>
        <v>0</v>
      </c>
      <c r="T81" s="120">
        <f>'Inputs by customer type'!T23</f>
        <v>189052.68521962134</v>
      </c>
      <c r="U81" s="120">
        <f>'Inputs by customer type'!U23</f>
        <v>698.17114006254928</v>
      </c>
      <c r="V81" s="120">
        <f>'Inputs by customer type'!V23</f>
        <v>16.006356756135215</v>
      </c>
      <c r="W81" s="120">
        <f>'Inputs by customer type'!W23</f>
        <v>30981.276337559029</v>
      </c>
      <c r="X81" s="120">
        <f>'Inputs by customer type'!X23</f>
        <v>0</v>
      </c>
      <c r="Y81" s="120">
        <f>'Inputs by customer type'!Y23</f>
        <v>807.27901652418518</v>
      </c>
      <c r="Z81" s="120">
        <f>'Inputs by customer type'!Z23</f>
        <v>0</v>
      </c>
      <c r="AA81" s="120">
        <f>'Inputs by customer type'!AA23</f>
        <v>507559.16751891578</v>
      </c>
      <c r="AB81" s="120">
        <f>'Inputs by customer type'!AB23</f>
        <v>0</v>
      </c>
      <c r="AT81" s="3"/>
    </row>
    <row r="82" spans="5:46" x14ac:dyDescent="0.25">
      <c r="F82" s="28" t="s">
        <v>447</v>
      </c>
      <c r="G82" s="28" t="s">
        <v>206</v>
      </c>
      <c r="J82" s="120">
        <f>'Inputs by customer type'!J32</f>
        <v>44956.580637555373</v>
      </c>
      <c r="K82" s="120">
        <f>'Inputs by customer type'!K32</f>
        <v>257.47123756913317</v>
      </c>
      <c r="L82" s="120">
        <f>'Inputs by customer type'!L32</f>
        <v>3140.330539372042</v>
      </c>
      <c r="M82" s="120">
        <f>'Inputs by customer type'!M32</f>
        <v>0</v>
      </c>
      <c r="N82" s="120">
        <f>'Inputs by customer type'!N32</f>
        <v>6545.246000000001</v>
      </c>
      <c r="O82" s="120">
        <f>'Inputs by customer type'!O32</f>
        <v>0</v>
      </c>
      <c r="P82" s="120">
        <f>'Inputs by customer type'!P32</f>
        <v>0</v>
      </c>
      <c r="Q82" s="120">
        <f>'Inputs by customer type'!Q32</f>
        <v>0</v>
      </c>
      <c r="R82" s="120">
        <f>'Inputs by customer type'!R32</f>
        <v>0</v>
      </c>
      <c r="S82" s="120">
        <f>'Inputs by customer type'!S32</f>
        <v>0</v>
      </c>
      <c r="T82" s="120">
        <f>'Inputs by customer type'!T32</f>
        <v>303.25428634096841</v>
      </c>
      <c r="U82" s="120">
        <f>'Inputs by customer type'!U32</f>
        <v>1.9454499908954175</v>
      </c>
      <c r="V82" s="120">
        <f>'Inputs by customer type'!V32</f>
        <v>0</v>
      </c>
      <c r="W82" s="120">
        <f>'Inputs by customer type'!W32</f>
        <v>0</v>
      </c>
      <c r="X82" s="120">
        <f>'Inputs by customer type'!X32</f>
        <v>0</v>
      </c>
      <c r="Y82" s="120">
        <f>'Inputs by customer type'!Y32</f>
        <v>0</v>
      </c>
      <c r="Z82" s="120">
        <f>'Inputs by customer type'!Z32</f>
        <v>0</v>
      </c>
      <c r="AA82" s="120">
        <f>'Inputs by customer type'!AA32</f>
        <v>0</v>
      </c>
      <c r="AB82" s="120">
        <f>'Inputs by customer type'!AB32</f>
        <v>0</v>
      </c>
      <c r="AT82" s="3"/>
    </row>
    <row r="83" spans="5:46" x14ac:dyDescent="0.25">
      <c r="F83" s="28" t="s">
        <v>448</v>
      </c>
      <c r="G83" s="28" t="s">
        <v>206</v>
      </c>
      <c r="J83" s="120">
        <f>'Inputs by customer type'!J41</f>
        <v>65951.865798979896</v>
      </c>
      <c r="K83" s="120">
        <f>'Inputs by customer type'!K41</f>
        <v>378.23816358036527</v>
      </c>
      <c r="L83" s="120">
        <f>'Inputs by customer type'!L41</f>
        <v>10881.052049529049</v>
      </c>
      <c r="M83" s="120">
        <f>'Inputs by customer type'!M41</f>
        <v>0</v>
      </c>
      <c r="N83" s="120">
        <f>'Inputs by customer type'!N41</f>
        <v>50706.112000000001</v>
      </c>
      <c r="O83" s="120">
        <f>'Inputs by customer type'!O41</f>
        <v>8312.2019999999993</v>
      </c>
      <c r="P83" s="120">
        <f>'Inputs by customer type'!P41</f>
        <v>25303.565000000002</v>
      </c>
      <c r="Q83" s="120">
        <f>'Inputs by customer type'!Q41</f>
        <v>0</v>
      </c>
      <c r="R83" s="120">
        <f>'Inputs by customer type'!R41</f>
        <v>0</v>
      </c>
      <c r="S83" s="120">
        <f>'Inputs by customer type'!S41</f>
        <v>0</v>
      </c>
      <c r="T83" s="120">
        <f>'Inputs by customer type'!T41</f>
        <v>470.53235815631092</v>
      </c>
      <c r="U83" s="120">
        <f>'Inputs by customer type'!U41</f>
        <v>0.86715492288170914</v>
      </c>
      <c r="V83" s="120">
        <f>'Inputs by customer type'!V41</f>
        <v>0</v>
      </c>
      <c r="W83" s="120">
        <f>'Inputs by customer type'!W41</f>
        <v>0</v>
      </c>
      <c r="X83" s="120">
        <f>'Inputs by customer type'!X41</f>
        <v>0</v>
      </c>
      <c r="Y83" s="120">
        <f>'Inputs by customer type'!Y41</f>
        <v>0</v>
      </c>
      <c r="Z83" s="120">
        <f>'Inputs by customer type'!Z41</f>
        <v>0</v>
      </c>
      <c r="AA83" s="120">
        <f>'Inputs by customer type'!AA41</f>
        <v>0</v>
      </c>
      <c r="AB83" s="120">
        <f>'Inputs by customer type'!AB41</f>
        <v>0</v>
      </c>
      <c r="AT83" s="3"/>
    </row>
    <row r="84" spans="5:46" x14ac:dyDescent="0.25">
      <c r="F84" s="28" t="s">
        <v>449</v>
      </c>
      <c r="G84" s="28" t="s">
        <v>166</v>
      </c>
      <c r="J84" s="111">
        <f t="shared" ref="J84:AB84" si="20">IF(J$39, J$45, J$34)</f>
        <v>0.39067242808448932</v>
      </c>
      <c r="K84" s="111">
        <f t="shared" si="20"/>
        <v>0.39067242808448932</v>
      </c>
      <c r="L84" s="111">
        <f t="shared" si="20"/>
        <v>0.39067242808448932</v>
      </c>
      <c r="M84" s="111">
        <f t="shared" si="20"/>
        <v>0.39067242808448932</v>
      </c>
      <c r="N84" s="111">
        <f t="shared" si="20"/>
        <v>0.39067242808448932</v>
      </c>
      <c r="O84" s="111">
        <f t="shared" si="20"/>
        <v>0</v>
      </c>
      <c r="P84" s="111">
        <f t="shared" si="20"/>
        <v>0</v>
      </c>
      <c r="Q84" s="111">
        <f t="shared" si="20"/>
        <v>0.39067242808448932</v>
      </c>
      <c r="R84" s="111">
        <f t="shared" si="20"/>
        <v>0</v>
      </c>
      <c r="S84" s="111">
        <f t="shared" si="20"/>
        <v>0</v>
      </c>
      <c r="T84" s="111">
        <f t="shared" si="20"/>
        <v>0.39067242808448932</v>
      </c>
      <c r="U84" s="111">
        <f t="shared" si="20"/>
        <v>0</v>
      </c>
      <c r="V84" s="111">
        <f t="shared" si="20"/>
        <v>0</v>
      </c>
      <c r="W84" s="111">
        <f t="shared" si="20"/>
        <v>0</v>
      </c>
      <c r="X84" s="111">
        <f t="shared" si="20"/>
        <v>0</v>
      </c>
      <c r="Y84" s="111">
        <f t="shared" si="20"/>
        <v>0</v>
      </c>
      <c r="Z84" s="111">
        <f t="shared" si="20"/>
        <v>0</v>
      </c>
      <c r="AA84" s="111">
        <f t="shared" si="20"/>
        <v>0</v>
      </c>
      <c r="AB84" s="111">
        <f t="shared" si="20"/>
        <v>0</v>
      </c>
      <c r="AT84" s="3"/>
    </row>
    <row r="85" spans="5:46" x14ac:dyDescent="0.25">
      <c r="F85" s="28" t="s">
        <v>450</v>
      </c>
      <c r="G85" s="28" t="s">
        <v>166</v>
      </c>
      <c r="J85" s="111">
        <f t="shared" ref="J85:AB85" si="21">IF(J$39, J$45, J$35)</f>
        <v>0.60361788113874959</v>
      </c>
      <c r="K85" s="111">
        <f t="shared" si="21"/>
        <v>0.60361788113874959</v>
      </c>
      <c r="L85" s="111">
        <f t="shared" si="21"/>
        <v>0.60361788113874959</v>
      </c>
      <c r="M85" s="111">
        <f t="shared" si="21"/>
        <v>0.60361788113874959</v>
      </c>
      <c r="N85" s="111">
        <f t="shared" si="21"/>
        <v>0.60361788113874959</v>
      </c>
      <c r="O85" s="111">
        <f t="shared" si="21"/>
        <v>0.34819248571328243</v>
      </c>
      <c r="P85" s="111">
        <f t="shared" si="21"/>
        <v>0.25174009320591562</v>
      </c>
      <c r="Q85" s="111">
        <f t="shared" si="21"/>
        <v>0.60361788113874959</v>
      </c>
      <c r="R85" s="111">
        <f t="shared" si="21"/>
        <v>0.34819248571328243</v>
      </c>
      <c r="S85" s="111">
        <f t="shared" si="21"/>
        <v>0.25174009320591562</v>
      </c>
      <c r="T85" s="111">
        <f t="shared" si="21"/>
        <v>0.60361788113874959</v>
      </c>
      <c r="U85" s="111">
        <f t="shared" si="21"/>
        <v>0</v>
      </c>
      <c r="V85" s="111">
        <f t="shared" si="21"/>
        <v>0</v>
      </c>
      <c r="W85" s="111">
        <f t="shared" si="21"/>
        <v>0</v>
      </c>
      <c r="X85" s="111">
        <f t="shared" si="21"/>
        <v>0</v>
      </c>
      <c r="Y85" s="111">
        <f t="shared" si="21"/>
        <v>0</v>
      </c>
      <c r="Z85" s="111">
        <f t="shared" si="21"/>
        <v>0</v>
      </c>
      <c r="AA85" s="111">
        <f t="shared" si="21"/>
        <v>0</v>
      </c>
      <c r="AB85" s="111">
        <f t="shared" si="21"/>
        <v>0</v>
      </c>
      <c r="AT85" s="3"/>
    </row>
    <row r="86" spans="5:46" x14ac:dyDescent="0.25">
      <c r="F86" s="28" t="s">
        <v>451</v>
      </c>
      <c r="G86" s="28" t="s">
        <v>206</v>
      </c>
      <c r="J86" s="98">
        <f t="shared" ref="J86:AB86" si="22">J82 * (1 - J84)</f>
        <v>27393.284121505476</v>
      </c>
      <c r="K86" s="98">
        <f t="shared" si="22"/>
        <v>156.88432402608152</v>
      </c>
      <c r="L86" s="98">
        <f t="shared" si="22"/>
        <v>1913.4899825676923</v>
      </c>
      <c r="M86" s="98">
        <f t="shared" si="22"/>
        <v>0</v>
      </c>
      <c r="N86" s="98">
        <f t="shared" si="22"/>
        <v>3988.1988527697094</v>
      </c>
      <c r="O86" s="98">
        <f t="shared" si="22"/>
        <v>0</v>
      </c>
      <c r="P86" s="98">
        <f t="shared" si="22"/>
        <v>0</v>
      </c>
      <c r="Q86" s="98">
        <f t="shared" ref="Q86:S86" si="23">Q82 * (1 - Q84)</f>
        <v>0</v>
      </c>
      <c r="R86" s="98">
        <f t="shared" si="23"/>
        <v>0</v>
      </c>
      <c r="S86" s="98">
        <f t="shared" si="23"/>
        <v>0</v>
      </c>
      <c r="T86" s="98">
        <f t="shared" si="22"/>
        <v>184.78119796911329</v>
      </c>
      <c r="U86" s="98">
        <f t="shared" si="22"/>
        <v>1.9454499908954175</v>
      </c>
      <c r="V86" s="98">
        <f t="shared" si="22"/>
        <v>0</v>
      </c>
      <c r="W86" s="98">
        <f t="shared" si="22"/>
        <v>0</v>
      </c>
      <c r="X86" s="98">
        <f t="shared" si="22"/>
        <v>0</v>
      </c>
      <c r="Y86" s="98">
        <f t="shared" si="22"/>
        <v>0</v>
      </c>
      <c r="Z86" s="98">
        <f t="shared" si="22"/>
        <v>0</v>
      </c>
      <c r="AA86" s="98">
        <f t="shared" si="22"/>
        <v>0</v>
      </c>
      <c r="AB86" s="98">
        <f t="shared" si="22"/>
        <v>0</v>
      </c>
      <c r="AT86" s="3"/>
    </row>
    <row r="87" spans="5:46" x14ac:dyDescent="0.25">
      <c r="F87" s="67" t="s">
        <v>452</v>
      </c>
      <c r="G87" s="67" t="s">
        <v>206</v>
      </c>
      <c r="H87" s="37"/>
      <c r="I87" s="37"/>
      <c r="J87" s="100">
        <f t="shared" ref="J87:AB87" si="24">J83 * (1 - J85)</f>
        <v>26142.140308252485</v>
      </c>
      <c r="K87" s="100">
        <f t="shared" si="24"/>
        <v>149.92684471417343</v>
      </c>
      <c r="L87" s="100">
        <f t="shared" si="24"/>
        <v>4313.0544668318762</v>
      </c>
      <c r="M87" s="100">
        <f t="shared" si="24"/>
        <v>0</v>
      </c>
      <c r="N87" s="100">
        <f t="shared" si="24"/>
        <v>20098.996113775876</v>
      </c>
      <c r="O87" s="100">
        <f t="shared" si="24"/>
        <v>5417.9557238690822</v>
      </c>
      <c r="P87" s="100">
        <f t="shared" si="24"/>
        <v>18933.643188458056</v>
      </c>
      <c r="Q87" s="100">
        <f t="shared" ref="Q87:S87" si="25">Q83 * (1 - Q85)</f>
        <v>0</v>
      </c>
      <c r="R87" s="100">
        <f t="shared" si="25"/>
        <v>0</v>
      </c>
      <c r="S87" s="100">
        <f t="shared" si="25"/>
        <v>0</v>
      </c>
      <c r="T87" s="100">
        <f t="shared" si="24"/>
        <v>186.51061311877928</v>
      </c>
      <c r="U87" s="100">
        <f t="shared" si="24"/>
        <v>0.86715492288170914</v>
      </c>
      <c r="V87" s="100">
        <f t="shared" si="24"/>
        <v>0</v>
      </c>
      <c r="W87" s="100">
        <f t="shared" si="24"/>
        <v>0</v>
      </c>
      <c r="X87" s="100">
        <f t="shared" si="24"/>
        <v>0</v>
      </c>
      <c r="Y87" s="100">
        <f t="shared" si="24"/>
        <v>0</v>
      </c>
      <c r="Z87" s="100">
        <f t="shared" si="24"/>
        <v>0</v>
      </c>
      <c r="AA87" s="100">
        <f t="shared" si="24"/>
        <v>0</v>
      </c>
      <c r="AB87" s="100">
        <f t="shared" si="24"/>
        <v>0</v>
      </c>
      <c r="AT87" s="3"/>
    </row>
    <row r="88" spans="5:46" x14ac:dyDescent="0.25">
      <c r="F88" s="28" t="s">
        <v>453</v>
      </c>
      <c r="G88" s="28" t="s">
        <v>206</v>
      </c>
      <c r="J88" s="121">
        <f t="shared" ref="J88:AB88" si="26">J81 + J86 + J87</f>
        <v>2435994.0010482869</v>
      </c>
      <c r="K88" s="121">
        <f t="shared" si="26"/>
        <v>245515.14232274992</v>
      </c>
      <c r="L88" s="121">
        <f t="shared" si="26"/>
        <v>988714.59609282145</v>
      </c>
      <c r="M88" s="121">
        <f t="shared" si="26"/>
        <v>52561.158034119573</v>
      </c>
      <c r="N88" s="121">
        <f t="shared" si="26"/>
        <v>1179031.4355710328</v>
      </c>
      <c r="O88" s="121">
        <f t="shared" si="26"/>
        <v>106315.97183163626</v>
      </c>
      <c r="P88" s="121">
        <f t="shared" si="26"/>
        <v>1621310.6751782417</v>
      </c>
      <c r="Q88" s="121">
        <f t="shared" ref="Q88:S88" si="27">Q81 + Q86 + Q87</f>
        <v>0</v>
      </c>
      <c r="R88" s="121">
        <f t="shared" si="27"/>
        <v>0</v>
      </c>
      <c r="S88" s="121">
        <f t="shared" si="27"/>
        <v>0</v>
      </c>
      <c r="T88" s="121">
        <f t="shared" si="26"/>
        <v>189423.97703070924</v>
      </c>
      <c r="U88" s="121">
        <f t="shared" si="26"/>
        <v>700.98374497632642</v>
      </c>
      <c r="V88" s="121">
        <f t="shared" si="26"/>
        <v>16.006356756135215</v>
      </c>
      <c r="W88" s="121">
        <f t="shared" si="26"/>
        <v>30981.276337559029</v>
      </c>
      <c r="X88" s="121">
        <f t="shared" si="26"/>
        <v>0</v>
      </c>
      <c r="Y88" s="121">
        <f t="shared" si="26"/>
        <v>807.27901652418518</v>
      </c>
      <c r="Z88" s="121">
        <f t="shared" si="26"/>
        <v>0</v>
      </c>
      <c r="AA88" s="121">
        <f t="shared" si="26"/>
        <v>507559.16751891578</v>
      </c>
      <c r="AB88" s="121">
        <f t="shared" si="26"/>
        <v>0</v>
      </c>
      <c r="AT88" s="3"/>
    </row>
    <row r="89" spans="5:46" x14ac:dyDescent="0.25">
      <c r="E89" s="32"/>
      <c r="J89" s="89"/>
      <c r="K89" s="89"/>
      <c r="L89" s="89"/>
      <c r="M89" s="89"/>
      <c r="N89" s="89"/>
      <c r="O89" s="89"/>
      <c r="P89" s="89"/>
      <c r="Q89" s="89"/>
      <c r="R89" s="89"/>
      <c r="S89" s="89"/>
      <c r="T89" s="89"/>
      <c r="U89" s="89"/>
      <c r="V89" s="89"/>
      <c r="W89" s="89"/>
      <c r="X89" s="89"/>
      <c r="Y89" s="89"/>
      <c r="Z89" s="89"/>
      <c r="AA89" s="89"/>
      <c r="AB89" s="89"/>
      <c r="AT89" s="3"/>
    </row>
    <row r="90" spans="5:46" x14ac:dyDescent="0.25">
      <c r="E90" s="32" t="s">
        <v>454</v>
      </c>
      <c r="I90" t="s">
        <v>153</v>
      </c>
      <c r="J90" s="89"/>
      <c r="K90" s="89"/>
      <c r="L90" s="89"/>
      <c r="M90" s="89"/>
      <c r="N90" s="89"/>
      <c r="O90" s="89"/>
      <c r="P90" s="89"/>
      <c r="Q90" s="89"/>
      <c r="R90" s="89"/>
      <c r="S90" s="89"/>
      <c r="T90" s="89"/>
      <c r="U90" s="89"/>
      <c r="V90" s="89"/>
      <c r="W90" s="89"/>
      <c r="X90" s="89"/>
      <c r="Y90" s="89"/>
      <c r="Z90" s="89"/>
      <c r="AA90" s="89"/>
      <c r="AB90" s="89"/>
      <c r="AT90" s="3"/>
    </row>
    <row r="91" spans="5:46" x14ac:dyDescent="0.25">
      <c r="E91" s="32"/>
      <c r="J91" s="89"/>
      <c r="K91" s="89"/>
      <c r="L91" s="89"/>
      <c r="M91" s="89"/>
      <c r="N91" s="89"/>
      <c r="O91" s="89"/>
      <c r="P91" s="89"/>
      <c r="Q91" s="89"/>
      <c r="R91" s="89"/>
      <c r="S91" s="89"/>
      <c r="T91" s="89"/>
      <c r="U91" s="89"/>
      <c r="V91" s="89"/>
      <c r="W91" s="89"/>
      <c r="X91" s="89"/>
      <c r="Y91" s="89"/>
      <c r="Z91" s="89"/>
      <c r="AA91" s="89"/>
      <c r="AB91" s="89"/>
      <c r="AT91" s="3"/>
    </row>
    <row r="92" spans="5:46" x14ac:dyDescent="0.25">
      <c r="F92" s="28" t="s">
        <v>453</v>
      </c>
      <c r="G92" s="28" t="s">
        <v>206</v>
      </c>
      <c r="J92" s="98">
        <f t="shared" ref="J92:AB92" si="28">J88 + J77 + J66</f>
        <v>5825599.3164300323</v>
      </c>
      <c r="K92" s="98">
        <f t="shared" si="28"/>
        <v>270877.78037019382</v>
      </c>
      <c r="L92" s="98">
        <f t="shared" si="28"/>
        <v>2201312.3060182091</v>
      </c>
      <c r="M92" s="98">
        <f t="shared" si="28"/>
        <v>82052.814575758006</v>
      </c>
      <c r="N92" s="98">
        <f t="shared" si="28"/>
        <v>2811232.9105622685</v>
      </c>
      <c r="O92" s="98">
        <f t="shared" si="28"/>
        <v>236827.76010355487</v>
      </c>
      <c r="P92" s="98">
        <f t="shared" si="28"/>
        <v>3461956.8156637559</v>
      </c>
      <c r="Q92" s="98">
        <f t="shared" ref="Q92:S92" si="29">Q88 + Q77 + Q66</f>
        <v>0</v>
      </c>
      <c r="R92" s="98">
        <f t="shared" si="29"/>
        <v>0</v>
      </c>
      <c r="S92" s="98">
        <f t="shared" si="29"/>
        <v>0</v>
      </c>
      <c r="T92" s="98">
        <f t="shared" si="28"/>
        <v>256175.35170091991</v>
      </c>
      <c r="U92" s="98">
        <f t="shared" si="28"/>
        <v>1469.6393787208365</v>
      </c>
      <c r="V92" s="98">
        <f t="shared" si="28"/>
        <v>30.742000000000001</v>
      </c>
      <c r="W92" s="98">
        <f t="shared" si="28"/>
        <v>64638.113999999994</v>
      </c>
      <c r="X92" s="98">
        <f t="shared" si="28"/>
        <v>0</v>
      </c>
      <c r="Y92" s="98">
        <f t="shared" si="28"/>
        <v>1549.241</v>
      </c>
      <c r="Z92" s="98">
        <f t="shared" si="28"/>
        <v>0</v>
      </c>
      <c r="AA92" s="98">
        <f t="shared" si="28"/>
        <v>1068847.425</v>
      </c>
      <c r="AB92" s="98">
        <f t="shared" si="28"/>
        <v>0</v>
      </c>
      <c r="AT92" s="3"/>
    </row>
    <row r="93" spans="5:46" x14ac:dyDescent="0.25">
      <c r="E93" s="32"/>
      <c r="J93" s="89"/>
      <c r="K93" s="89"/>
      <c r="L93" s="89"/>
      <c r="M93" s="89"/>
      <c r="N93" s="89"/>
      <c r="O93" s="89"/>
      <c r="P93" s="89"/>
      <c r="Q93" s="89"/>
      <c r="R93" s="89"/>
      <c r="S93" s="89"/>
      <c r="T93" s="89"/>
      <c r="U93" s="89"/>
      <c r="V93" s="89"/>
      <c r="W93" s="89"/>
      <c r="X93" s="89"/>
      <c r="Y93" s="89"/>
      <c r="Z93" s="89"/>
      <c r="AA93" s="89"/>
      <c r="AB93" s="89"/>
      <c r="AT93" s="3"/>
    </row>
    <row r="94" spans="5:46" x14ac:dyDescent="0.25">
      <c r="E94" s="32" t="s">
        <v>211</v>
      </c>
      <c r="I94" t="s">
        <v>153</v>
      </c>
      <c r="J94" s="89"/>
      <c r="K94" s="89"/>
      <c r="L94" s="89"/>
      <c r="M94" s="89"/>
      <c r="N94" s="89"/>
      <c r="O94" s="89"/>
      <c r="P94" s="89"/>
      <c r="Q94" s="89"/>
      <c r="R94" s="89"/>
      <c r="S94" s="89"/>
      <c r="T94" s="89"/>
      <c r="U94" s="89"/>
      <c r="V94" s="89"/>
      <c r="W94" s="89"/>
      <c r="X94" s="89"/>
      <c r="Y94" s="89"/>
      <c r="Z94" s="89"/>
      <c r="AA94" s="89"/>
      <c r="AB94" s="89"/>
      <c r="AD94" t="s">
        <v>308</v>
      </c>
      <c r="AT94" s="3"/>
    </row>
    <row r="95" spans="5:46" x14ac:dyDescent="0.25">
      <c r="E95" s="32"/>
      <c r="J95" s="89"/>
      <c r="K95" s="89"/>
      <c r="L95" s="89"/>
      <c r="M95" s="89"/>
      <c r="N95" s="89"/>
      <c r="O95" s="89"/>
      <c r="P95" s="89"/>
      <c r="Q95" s="89"/>
      <c r="R95" s="89"/>
      <c r="S95" s="89"/>
      <c r="T95" s="89"/>
      <c r="U95" s="89"/>
      <c r="V95" s="89"/>
      <c r="W95" s="89"/>
      <c r="X95" s="89"/>
      <c r="Y95" s="89"/>
      <c r="Z95" s="89"/>
      <c r="AA95" s="89"/>
      <c r="AB95" s="89"/>
      <c r="AT95" s="3"/>
    </row>
    <row r="96" spans="5:46" x14ac:dyDescent="0.25">
      <c r="F96" s="28" t="s">
        <v>446</v>
      </c>
      <c r="G96" s="28" t="s">
        <v>211</v>
      </c>
      <c r="J96" s="120">
        <f>'Inputs by customer type'!J24</f>
        <v>1852569</v>
      </c>
      <c r="K96" s="120">
        <f>'Inputs by customer type'!K24</f>
        <v>100059</v>
      </c>
      <c r="L96" s="120">
        <f>'Inputs by customer type'!L24</f>
        <v>125030</v>
      </c>
      <c r="M96" s="120">
        <f>'Inputs by customer type'!M24</f>
        <v>7441</v>
      </c>
      <c r="N96" s="120">
        <f>'Inputs by customer type'!N24</f>
        <v>10491</v>
      </c>
      <c r="O96" s="120">
        <f>'Inputs by customer type'!O24</f>
        <v>219</v>
      </c>
      <c r="P96" s="120">
        <f>'Inputs by customer type'!P24</f>
        <v>1257</v>
      </c>
      <c r="Q96" s="120">
        <f>'Inputs by customer type'!Q24</f>
        <v>0</v>
      </c>
      <c r="R96" s="120">
        <f>'Inputs by customer type'!R24</f>
        <v>0</v>
      </c>
      <c r="S96" s="120">
        <f>'Inputs by customer type'!S24</f>
        <v>0</v>
      </c>
      <c r="T96" s="120">
        <f>'Inputs by customer type'!T24</f>
        <v>4868</v>
      </c>
      <c r="U96" s="120">
        <f>'Inputs by customer type'!U24</f>
        <v>167</v>
      </c>
      <c r="V96" s="120">
        <f>'Inputs by customer type'!V24</f>
        <v>4</v>
      </c>
      <c r="W96" s="120">
        <f>'Inputs by customer type'!W24</f>
        <v>472</v>
      </c>
      <c r="X96" s="120">
        <f>'Inputs by customer type'!X24</f>
        <v>0</v>
      </c>
      <c r="Y96" s="120">
        <f>'Inputs by customer type'!Y24</f>
        <v>8</v>
      </c>
      <c r="Z96" s="120">
        <f>'Inputs by customer type'!Z24</f>
        <v>0</v>
      </c>
      <c r="AA96" s="120">
        <f>'Inputs by customer type'!AA24</f>
        <v>255</v>
      </c>
      <c r="AB96" s="120">
        <f>'Inputs by customer type'!AB24</f>
        <v>0</v>
      </c>
      <c r="AT96" s="3"/>
    </row>
    <row r="97" spans="5:46" x14ac:dyDescent="0.25">
      <c r="F97" s="28" t="s">
        <v>447</v>
      </c>
      <c r="G97" s="28" t="s">
        <v>211</v>
      </c>
      <c r="J97" s="120">
        <f>'Inputs by customer type'!J33</f>
        <v>41179.93548387097</v>
      </c>
      <c r="K97" s="120">
        <f>'Inputs by customer type'!K33</f>
        <v>67</v>
      </c>
      <c r="L97" s="120">
        <f>'Inputs by customer type'!L33</f>
        <v>1036.6774193548388</v>
      </c>
      <c r="M97" s="120">
        <f>'Inputs by customer type'!M33</f>
        <v>0</v>
      </c>
      <c r="N97" s="120">
        <f>'Inputs by customer type'!N33</f>
        <v>76</v>
      </c>
      <c r="O97" s="120">
        <f>'Inputs by customer type'!O33</f>
        <v>0</v>
      </c>
      <c r="P97" s="120">
        <f>'Inputs by customer type'!P33</f>
        <v>0</v>
      </c>
      <c r="Q97" s="120">
        <f>'Inputs by customer type'!Q33</f>
        <v>0</v>
      </c>
      <c r="R97" s="120">
        <f>'Inputs by customer type'!R33</f>
        <v>0</v>
      </c>
      <c r="S97" s="120">
        <f>'Inputs by customer type'!S33</f>
        <v>0</v>
      </c>
      <c r="T97" s="120">
        <f>'Inputs by customer type'!T33</f>
        <v>34</v>
      </c>
      <c r="U97" s="120">
        <f>'Inputs by customer type'!U33</f>
        <v>3</v>
      </c>
      <c r="V97" s="120">
        <f>'Inputs by customer type'!V33</f>
        <v>0</v>
      </c>
      <c r="W97" s="120">
        <f>'Inputs by customer type'!W33</f>
        <v>0</v>
      </c>
      <c r="X97" s="120">
        <f>'Inputs by customer type'!X33</f>
        <v>0</v>
      </c>
      <c r="Y97" s="120">
        <f>'Inputs by customer type'!Y33</f>
        <v>0</v>
      </c>
      <c r="Z97" s="120">
        <f>'Inputs by customer type'!Z33</f>
        <v>0</v>
      </c>
      <c r="AA97" s="120">
        <f>'Inputs by customer type'!AA33</f>
        <v>0</v>
      </c>
      <c r="AB97" s="120">
        <f>'Inputs by customer type'!AB33</f>
        <v>0</v>
      </c>
      <c r="AT97" s="3"/>
    </row>
    <row r="98" spans="5:46" x14ac:dyDescent="0.25">
      <c r="F98" s="28" t="s">
        <v>448</v>
      </c>
      <c r="G98" s="28" t="s">
        <v>211</v>
      </c>
      <c r="J98" s="120">
        <f>'Inputs by customer type'!J42</f>
        <v>58740.548387096773</v>
      </c>
      <c r="K98" s="120">
        <f>'Inputs by customer type'!K42</f>
        <v>78.451612903225808</v>
      </c>
      <c r="L98" s="120">
        <f>'Inputs by customer type'!L42</f>
        <v>1509.8709677419354</v>
      </c>
      <c r="M98" s="120">
        <f>'Inputs by customer type'!M42</f>
        <v>0</v>
      </c>
      <c r="N98" s="120">
        <f>'Inputs by customer type'!N42</f>
        <v>381</v>
      </c>
      <c r="O98" s="120">
        <f>'Inputs by customer type'!O42</f>
        <v>26</v>
      </c>
      <c r="P98" s="120">
        <f>'Inputs by customer type'!P42</f>
        <v>30</v>
      </c>
      <c r="Q98" s="120">
        <f>'Inputs by customer type'!Q42</f>
        <v>0</v>
      </c>
      <c r="R98" s="120">
        <f>'Inputs by customer type'!R42</f>
        <v>0</v>
      </c>
      <c r="S98" s="120">
        <f>'Inputs by customer type'!S42</f>
        <v>0</v>
      </c>
      <c r="T98" s="120">
        <f>'Inputs by customer type'!T42</f>
        <v>46</v>
      </c>
      <c r="U98" s="120">
        <f>'Inputs by customer type'!U42</f>
        <v>5</v>
      </c>
      <c r="V98" s="120">
        <f>'Inputs by customer type'!V42</f>
        <v>0</v>
      </c>
      <c r="W98" s="120">
        <f>'Inputs by customer type'!W42</f>
        <v>0</v>
      </c>
      <c r="X98" s="120">
        <f>'Inputs by customer type'!X42</f>
        <v>0</v>
      </c>
      <c r="Y98" s="120">
        <f>'Inputs by customer type'!Y42</f>
        <v>0</v>
      </c>
      <c r="Z98" s="120">
        <f>'Inputs by customer type'!Z42</f>
        <v>0</v>
      </c>
      <c r="AA98" s="120">
        <f>'Inputs by customer type'!AA42</f>
        <v>0</v>
      </c>
      <c r="AB98" s="120">
        <f>'Inputs by customer type'!AB42</f>
        <v>0</v>
      </c>
      <c r="AT98" s="3"/>
    </row>
    <row r="99" spans="5:46" x14ac:dyDescent="0.25">
      <c r="F99" s="28" t="s">
        <v>449</v>
      </c>
      <c r="G99" s="28" t="s">
        <v>166</v>
      </c>
      <c r="J99" s="111">
        <f t="shared" ref="J99:AB99" si="30">IF(J$40, J$46, J$34)</f>
        <v>0.39067242808448932</v>
      </c>
      <c r="K99" s="111">
        <f t="shared" si="30"/>
        <v>0.39067242808448932</v>
      </c>
      <c r="L99" s="111">
        <f t="shared" si="30"/>
        <v>0.39067242808448932</v>
      </c>
      <c r="M99" s="111">
        <f t="shared" si="30"/>
        <v>0.39067242808448932</v>
      </c>
      <c r="N99" s="111">
        <f t="shared" si="30"/>
        <v>0.39067242808448932</v>
      </c>
      <c r="O99" s="111">
        <f t="shared" si="30"/>
        <v>0</v>
      </c>
      <c r="P99" s="111">
        <f t="shared" si="30"/>
        <v>0</v>
      </c>
      <c r="Q99" s="111">
        <f t="shared" si="30"/>
        <v>0.39067242808448932</v>
      </c>
      <c r="R99" s="111">
        <f t="shared" si="30"/>
        <v>0</v>
      </c>
      <c r="S99" s="111">
        <f t="shared" si="30"/>
        <v>0</v>
      </c>
      <c r="T99" s="111">
        <f t="shared" si="30"/>
        <v>0.39067242808448932</v>
      </c>
      <c r="U99" s="111">
        <f t="shared" si="30"/>
        <v>1</v>
      </c>
      <c r="V99" s="111">
        <f t="shared" si="30"/>
        <v>1</v>
      </c>
      <c r="W99" s="111">
        <f t="shared" si="30"/>
        <v>1</v>
      </c>
      <c r="X99" s="111">
        <f t="shared" si="30"/>
        <v>1</v>
      </c>
      <c r="Y99" s="111">
        <f t="shared" si="30"/>
        <v>1</v>
      </c>
      <c r="Z99" s="111">
        <f t="shared" si="30"/>
        <v>1</v>
      </c>
      <c r="AA99" s="111">
        <f t="shared" si="30"/>
        <v>1</v>
      </c>
      <c r="AB99" s="111">
        <f t="shared" si="30"/>
        <v>1</v>
      </c>
      <c r="AT99" s="3"/>
    </row>
    <row r="100" spans="5:46" x14ac:dyDescent="0.25">
      <c r="F100" s="28" t="s">
        <v>450</v>
      </c>
      <c r="G100" s="28" t="s">
        <v>166</v>
      </c>
      <c r="J100" s="111">
        <f t="shared" ref="J100:AB100" si="31">IF(J$40, J$46, J$35)</f>
        <v>0.60361788113874959</v>
      </c>
      <c r="K100" s="111">
        <f t="shared" si="31"/>
        <v>0.60361788113874959</v>
      </c>
      <c r="L100" s="111">
        <f t="shared" si="31"/>
        <v>0.60361788113874959</v>
      </c>
      <c r="M100" s="111">
        <f t="shared" si="31"/>
        <v>0.60361788113874959</v>
      </c>
      <c r="N100" s="111">
        <f t="shared" si="31"/>
        <v>0.60361788113874959</v>
      </c>
      <c r="O100" s="111">
        <f t="shared" si="31"/>
        <v>0.34819248571328243</v>
      </c>
      <c r="P100" s="111">
        <f t="shared" si="31"/>
        <v>0.25174009320591562</v>
      </c>
      <c r="Q100" s="111">
        <f t="shared" si="31"/>
        <v>0.60361788113874959</v>
      </c>
      <c r="R100" s="111">
        <f t="shared" si="31"/>
        <v>0.34819248571328243</v>
      </c>
      <c r="S100" s="111">
        <f t="shared" si="31"/>
        <v>0.25174009320591562</v>
      </c>
      <c r="T100" s="111">
        <f t="shared" si="31"/>
        <v>0.60361788113874959</v>
      </c>
      <c r="U100" s="111">
        <f t="shared" si="31"/>
        <v>1</v>
      </c>
      <c r="V100" s="111">
        <f t="shared" si="31"/>
        <v>1</v>
      </c>
      <c r="W100" s="111">
        <f t="shared" si="31"/>
        <v>1</v>
      </c>
      <c r="X100" s="111">
        <f t="shared" si="31"/>
        <v>1</v>
      </c>
      <c r="Y100" s="111">
        <f t="shared" si="31"/>
        <v>1</v>
      </c>
      <c r="Z100" s="111">
        <f t="shared" si="31"/>
        <v>1</v>
      </c>
      <c r="AA100" s="111">
        <f t="shared" si="31"/>
        <v>1</v>
      </c>
      <c r="AB100" s="111">
        <f t="shared" si="31"/>
        <v>1</v>
      </c>
      <c r="AT100" s="3"/>
    </row>
    <row r="101" spans="5:46" x14ac:dyDescent="0.25">
      <c r="F101" s="28" t="s">
        <v>451</v>
      </c>
      <c r="G101" s="28" t="s">
        <v>211</v>
      </c>
      <c r="J101" s="98">
        <f t="shared" ref="J101:AB101" si="32">J97 * (1 - J99)</f>
        <v>25092.070100024477</v>
      </c>
      <c r="K101" s="98">
        <f t="shared" si="32"/>
        <v>40.824947318339213</v>
      </c>
      <c r="L101" s="98">
        <f t="shared" si="32"/>
        <v>631.67613479512158</v>
      </c>
      <c r="M101" s="98">
        <f t="shared" si="32"/>
        <v>0</v>
      </c>
      <c r="N101" s="98">
        <f t="shared" si="32"/>
        <v>46.308895465578814</v>
      </c>
      <c r="O101" s="98">
        <f t="shared" si="32"/>
        <v>0</v>
      </c>
      <c r="P101" s="98">
        <f t="shared" si="32"/>
        <v>0</v>
      </c>
      <c r="Q101" s="98">
        <f t="shared" ref="Q101:S101" si="33">Q97 * (1 - Q99)</f>
        <v>0</v>
      </c>
      <c r="R101" s="98">
        <f t="shared" si="33"/>
        <v>0</v>
      </c>
      <c r="S101" s="98">
        <f t="shared" si="33"/>
        <v>0</v>
      </c>
      <c r="T101" s="98">
        <f t="shared" si="32"/>
        <v>20.717137445127364</v>
      </c>
      <c r="U101" s="98">
        <f t="shared" si="32"/>
        <v>0</v>
      </c>
      <c r="V101" s="98">
        <f t="shared" si="32"/>
        <v>0</v>
      </c>
      <c r="W101" s="98">
        <f t="shared" si="32"/>
        <v>0</v>
      </c>
      <c r="X101" s="98">
        <f t="shared" si="32"/>
        <v>0</v>
      </c>
      <c r="Y101" s="98">
        <f t="shared" si="32"/>
        <v>0</v>
      </c>
      <c r="Z101" s="98">
        <f t="shared" si="32"/>
        <v>0</v>
      </c>
      <c r="AA101" s="98">
        <f t="shared" si="32"/>
        <v>0</v>
      </c>
      <c r="AB101" s="98">
        <f t="shared" si="32"/>
        <v>0</v>
      </c>
      <c r="AT101" s="3"/>
    </row>
    <row r="102" spans="5:46" x14ac:dyDescent="0.25">
      <c r="F102" s="67" t="s">
        <v>452</v>
      </c>
      <c r="G102" s="67" t="s">
        <v>211</v>
      </c>
      <c r="H102" s="37"/>
      <c r="I102" s="37"/>
      <c r="J102" s="100">
        <f t="shared" ref="J102:AB102" si="34">J98 * (1 - J100)</f>
        <v>23283.703032749225</v>
      </c>
      <c r="K102" s="100">
        <f t="shared" si="34"/>
        <v>31.096816550663259</v>
      </c>
      <c r="L102" s="100">
        <f t="shared" si="34"/>
        <v>598.48585340063505</v>
      </c>
      <c r="M102" s="100">
        <f t="shared" si="34"/>
        <v>0</v>
      </c>
      <c r="N102" s="100">
        <f t="shared" si="34"/>
        <v>151.02158728613639</v>
      </c>
      <c r="O102" s="100">
        <f t="shared" si="34"/>
        <v>16.946995371454658</v>
      </c>
      <c r="P102" s="100">
        <f t="shared" si="34"/>
        <v>22.447797203822532</v>
      </c>
      <c r="Q102" s="100">
        <f t="shared" ref="Q102:S102" si="35">Q98 * (1 - Q100)</f>
        <v>0</v>
      </c>
      <c r="R102" s="100">
        <f t="shared" si="35"/>
        <v>0</v>
      </c>
      <c r="S102" s="100">
        <f t="shared" si="35"/>
        <v>0</v>
      </c>
      <c r="T102" s="100">
        <f t="shared" si="34"/>
        <v>18.233577467617518</v>
      </c>
      <c r="U102" s="100">
        <f t="shared" si="34"/>
        <v>0</v>
      </c>
      <c r="V102" s="100">
        <f t="shared" si="34"/>
        <v>0</v>
      </c>
      <c r="W102" s="100">
        <f t="shared" si="34"/>
        <v>0</v>
      </c>
      <c r="X102" s="100">
        <f t="shared" si="34"/>
        <v>0</v>
      </c>
      <c r="Y102" s="100">
        <f t="shared" si="34"/>
        <v>0</v>
      </c>
      <c r="Z102" s="100">
        <f t="shared" si="34"/>
        <v>0</v>
      </c>
      <c r="AA102" s="100">
        <f t="shared" si="34"/>
        <v>0</v>
      </c>
      <c r="AB102" s="100">
        <f t="shared" si="34"/>
        <v>0</v>
      </c>
      <c r="AT102" s="3"/>
    </row>
    <row r="103" spans="5:46" x14ac:dyDescent="0.25">
      <c r="F103" s="28" t="s">
        <v>453</v>
      </c>
      <c r="G103" s="28" t="s">
        <v>211</v>
      </c>
      <c r="J103" s="121">
        <f t="shared" ref="J103:AB103" si="36">J96 + J101 + J102</f>
        <v>1900944.7731327738</v>
      </c>
      <c r="K103" s="121">
        <f t="shared" si="36"/>
        <v>100130.921763869</v>
      </c>
      <c r="L103" s="121">
        <f t="shared" si="36"/>
        <v>126260.16198819576</v>
      </c>
      <c r="M103" s="121">
        <f t="shared" si="36"/>
        <v>7441</v>
      </c>
      <c r="N103" s="121">
        <f t="shared" si="36"/>
        <v>10688.330482751717</v>
      </c>
      <c r="O103" s="121">
        <f t="shared" si="36"/>
        <v>235.94699537145465</v>
      </c>
      <c r="P103" s="121">
        <f t="shared" si="36"/>
        <v>1279.4477972038226</v>
      </c>
      <c r="Q103" s="121">
        <f t="shared" ref="Q103:S103" si="37">Q96 + Q101 + Q102</f>
        <v>0</v>
      </c>
      <c r="R103" s="121">
        <f t="shared" si="37"/>
        <v>0</v>
      </c>
      <c r="S103" s="121">
        <f t="shared" si="37"/>
        <v>0</v>
      </c>
      <c r="T103" s="121">
        <f t="shared" si="36"/>
        <v>4906.9507149127448</v>
      </c>
      <c r="U103" s="121">
        <f t="shared" si="36"/>
        <v>167</v>
      </c>
      <c r="V103" s="121">
        <f t="shared" si="36"/>
        <v>4</v>
      </c>
      <c r="W103" s="121">
        <f t="shared" si="36"/>
        <v>472</v>
      </c>
      <c r="X103" s="121">
        <f t="shared" si="36"/>
        <v>0</v>
      </c>
      <c r="Y103" s="121">
        <f t="shared" si="36"/>
        <v>8</v>
      </c>
      <c r="Z103" s="121">
        <f t="shared" si="36"/>
        <v>0</v>
      </c>
      <c r="AA103" s="121">
        <f t="shared" si="36"/>
        <v>255</v>
      </c>
      <c r="AB103" s="121">
        <f t="shared" si="36"/>
        <v>0</v>
      </c>
      <c r="AT103" s="3"/>
    </row>
    <row r="104" spans="5:46" x14ac:dyDescent="0.25">
      <c r="E104" s="32"/>
      <c r="J104" s="89"/>
      <c r="K104" s="89"/>
      <c r="L104" s="89"/>
      <c r="M104" s="89"/>
      <c r="N104" s="89"/>
      <c r="O104" s="89"/>
      <c r="P104" s="89"/>
      <c r="Q104" s="89"/>
      <c r="R104" s="89"/>
      <c r="S104" s="89"/>
      <c r="T104" s="89"/>
      <c r="U104" s="89"/>
      <c r="V104" s="89"/>
      <c r="W104" s="89"/>
      <c r="X104" s="89"/>
      <c r="Y104" s="89"/>
      <c r="Z104" s="89"/>
      <c r="AA104" s="89"/>
      <c r="AB104" s="89"/>
      <c r="AT104" s="3"/>
    </row>
    <row r="105" spans="5:46" x14ac:dyDescent="0.25">
      <c r="E105" s="32" t="s">
        <v>249</v>
      </c>
      <c r="I105" t="s">
        <v>153</v>
      </c>
      <c r="J105" s="89"/>
      <c r="K105" s="89"/>
      <c r="L105" s="89"/>
      <c r="M105" s="89"/>
      <c r="N105" s="89"/>
      <c r="O105" s="89"/>
      <c r="P105" s="89"/>
      <c r="Q105" s="89"/>
      <c r="R105" s="89"/>
      <c r="S105" s="89"/>
      <c r="T105" s="89"/>
      <c r="U105" s="89"/>
      <c r="V105" s="89"/>
      <c r="W105" s="89"/>
      <c r="X105" s="89"/>
      <c r="Y105" s="89"/>
      <c r="Z105" s="89"/>
      <c r="AA105" s="89"/>
      <c r="AB105" s="89"/>
      <c r="AD105" t="s">
        <v>308</v>
      </c>
      <c r="AT105" s="3"/>
    </row>
    <row r="106" spans="5:46" x14ac:dyDescent="0.25">
      <c r="E106" s="32"/>
      <c r="J106" s="89"/>
      <c r="K106" s="89"/>
      <c r="L106" s="89"/>
      <c r="M106" s="89"/>
      <c r="N106" s="89"/>
      <c r="O106" s="89"/>
      <c r="P106" s="89"/>
      <c r="Q106" s="89"/>
      <c r="R106" s="89"/>
      <c r="S106" s="89"/>
      <c r="T106" s="89"/>
      <c r="U106" s="89"/>
      <c r="V106" s="89"/>
      <c r="W106" s="89"/>
      <c r="X106" s="89"/>
      <c r="Y106" s="89"/>
      <c r="Z106" s="89"/>
      <c r="AA106" s="89"/>
      <c r="AB106" s="89"/>
      <c r="AT106" s="3"/>
    </row>
    <row r="107" spans="5:46" x14ac:dyDescent="0.25">
      <c r="F107" s="28" t="s">
        <v>446</v>
      </c>
      <c r="G107" s="28" t="s">
        <v>250</v>
      </c>
      <c r="J107" s="120">
        <f>'Inputs by customer type'!J25</f>
        <v>0</v>
      </c>
      <c r="K107" s="120">
        <f>'Inputs by customer type'!K25</f>
        <v>0</v>
      </c>
      <c r="L107" s="120">
        <f>'Inputs by customer type'!L25</f>
        <v>0</v>
      </c>
      <c r="M107" s="120">
        <f>'Inputs by customer type'!M25</f>
        <v>0</v>
      </c>
      <c r="N107" s="120">
        <f>'Inputs by customer type'!N25</f>
        <v>1465414</v>
      </c>
      <c r="O107" s="120">
        <f>'Inputs by customer type'!O25</f>
        <v>92670</v>
      </c>
      <c r="P107" s="120">
        <f>'Inputs by customer type'!P25</f>
        <v>1282859</v>
      </c>
      <c r="Q107" s="120">
        <f>'Inputs by customer type'!Q25</f>
        <v>0</v>
      </c>
      <c r="R107" s="120">
        <f>'Inputs by customer type'!R25</f>
        <v>0</v>
      </c>
      <c r="S107" s="120">
        <f>'Inputs by customer type'!S25</f>
        <v>0</v>
      </c>
      <c r="T107" s="120">
        <f>'Inputs by customer type'!T25</f>
        <v>0</v>
      </c>
      <c r="U107" s="120">
        <f>'Inputs by customer type'!U25</f>
        <v>0</v>
      </c>
      <c r="V107" s="120">
        <f>'Inputs by customer type'!V25</f>
        <v>0</v>
      </c>
      <c r="W107" s="120">
        <f>'Inputs by customer type'!W25</f>
        <v>0</v>
      </c>
      <c r="X107" s="120">
        <f>'Inputs by customer type'!X25</f>
        <v>0</v>
      </c>
      <c r="Y107" s="120">
        <f>'Inputs by customer type'!Y25</f>
        <v>0</v>
      </c>
      <c r="Z107" s="120">
        <f>'Inputs by customer type'!Z25</f>
        <v>0</v>
      </c>
      <c r="AA107" s="120">
        <f>'Inputs by customer type'!AA25</f>
        <v>0</v>
      </c>
      <c r="AB107" s="120">
        <f>'Inputs by customer type'!AB25</f>
        <v>0</v>
      </c>
      <c r="AT107" s="3"/>
    </row>
    <row r="108" spans="5:46" x14ac:dyDescent="0.25">
      <c r="F108" s="28" t="s">
        <v>447</v>
      </c>
      <c r="G108" s="28" t="s">
        <v>250</v>
      </c>
      <c r="J108" s="120">
        <f>'Inputs by customer type'!J34</f>
        <v>0</v>
      </c>
      <c r="K108" s="120">
        <f>'Inputs by customer type'!K34</f>
        <v>0</v>
      </c>
      <c r="L108" s="120">
        <f>'Inputs by customer type'!L34</f>
        <v>0</v>
      </c>
      <c r="M108" s="120">
        <f>'Inputs by customer type'!M34</f>
        <v>0</v>
      </c>
      <c r="N108" s="120">
        <f>'Inputs by customer type'!N34</f>
        <v>10403</v>
      </c>
      <c r="O108" s="120">
        <f>'Inputs by customer type'!O34</f>
        <v>0</v>
      </c>
      <c r="P108" s="120">
        <f>'Inputs by customer type'!P34</f>
        <v>0</v>
      </c>
      <c r="Q108" s="120">
        <f>'Inputs by customer type'!Q34</f>
        <v>0</v>
      </c>
      <c r="R108" s="120">
        <f>'Inputs by customer type'!R34</f>
        <v>0</v>
      </c>
      <c r="S108" s="120">
        <f>'Inputs by customer type'!S34</f>
        <v>0</v>
      </c>
      <c r="T108" s="120">
        <f>'Inputs by customer type'!T34</f>
        <v>0</v>
      </c>
      <c r="U108" s="120">
        <f>'Inputs by customer type'!U34</f>
        <v>0</v>
      </c>
      <c r="V108" s="120">
        <f>'Inputs by customer type'!V34</f>
        <v>0</v>
      </c>
      <c r="W108" s="120">
        <f>'Inputs by customer type'!W34</f>
        <v>0</v>
      </c>
      <c r="X108" s="120">
        <f>'Inputs by customer type'!X34</f>
        <v>0</v>
      </c>
      <c r="Y108" s="120">
        <f>'Inputs by customer type'!Y34</f>
        <v>0</v>
      </c>
      <c r="Z108" s="120">
        <f>'Inputs by customer type'!Z34</f>
        <v>0</v>
      </c>
      <c r="AA108" s="120">
        <f>'Inputs by customer type'!AA34</f>
        <v>0</v>
      </c>
      <c r="AB108" s="120">
        <f>'Inputs by customer type'!AB34</f>
        <v>0</v>
      </c>
      <c r="AT108" s="3"/>
    </row>
    <row r="109" spans="5:46" x14ac:dyDescent="0.25">
      <c r="F109" s="28" t="s">
        <v>448</v>
      </c>
      <c r="G109" s="28" t="s">
        <v>250</v>
      </c>
      <c r="J109" s="120">
        <f>'Inputs by customer type'!J43</f>
        <v>0</v>
      </c>
      <c r="K109" s="120">
        <f>'Inputs by customer type'!K43</f>
        <v>0</v>
      </c>
      <c r="L109" s="120">
        <f>'Inputs by customer type'!L43</f>
        <v>0</v>
      </c>
      <c r="M109" s="120">
        <f>'Inputs by customer type'!M43</f>
        <v>0</v>
      </c>
      <c r="N109" s="120">
        <f>'Inputs by customer type'!N43</f>
        <v>87614</v>
      </c>
      <c r="O109" s="120">
        <f>'Inputs by customer type'!O43</f>
        <v>13995</v>
      </c>
      <c r="P109" s="120">
        <f>'Inputs by customer type'!P43</f>
        <v>28618</v>
      </c>
      <c r="Q109" s="120">
        <f>'Inputs by customer type'!Q43</f>
        <v>0</v>
      </c>
      <c r="R109" s="120">
        <f>'Inputs by customer type'!R43</f>
        <v>0</v>
      </c>
      <c r="S109" s="120">
        <f>'Inputs by customer type'!S43</f>
        <v>0</v>
      </c>
      <c r="T109" s="120">
        <f>'Inputs by customer type'!T43</f>
        <v>0</v>
      </c>
      <c r="U109" s="120">
        <f>'Inputs by customer type'!U43</f>
        <v>0</v>
      </c>
      <c r="V109" s="120">
        <f>'Inputs by customer type'!V43</f>
        <v>0</v>
      </c>
      <c r="W109" s="120">
        <f>'Inputs by customer type'!W43</f>
        <v>0</v>
      </c>
      <c r="X109" s="120">
        <f>'Inputs by customer type'!X43</f>
        <v>0</v>
      </c>
      <c r="Y109" s="120">
        <f>'Inputs by customer type'!Y43</f>
        <v>0</v>
      </c>
      <c r="Z109" s="120">
        <f>'Inputs by customer type'!Z43</f>
        <v>0</v>
      </c>
      <c r="AA109" s="120">
        <f>'Inputs by customer type'!AA43</f>
        <v>0</v>
      </c>
      <c r="AB109" s="120">
        <f>'Inputs by customer type'!AB43</f>
        <v>0</v>
      </c>
      <c r="AT109" s="3"/>
    </row>
    <row r="110" spans="5:46" x14ac:dyDescent="0.25">
      <c r="F110" s="28" t="s">
        <v>449</v>
      </c>
      <c r="G110" s="28" t="s">
        <v>166</v>
      </c>
      <c r="J110" s="111">
        <f t="shared" ref="J110:AB110" si="38">IF(J$41, J$47, J$34)</f>
        <v>0.39067242808448932</v>
      </c>
      <c r="K110" s="111">
        <f t="shared" si="38"/>
        <v>0.39067242808448932</v>
      </c>
      <c r="L110" s="111">
        <f t="shared" si="38"/>
        <v>0.39067242808448932</v>
      </c>
      <c r="M110" s="111">
        <f t="shared" si="38"/>
        <v>0.39067242808448932</v>
      </c>
      <c r="N110" s="111">
        <f t="shared" si="38"/>
        <v>0.39067242808448932</v>
      </c>
      <c r="O110" s="111">
        <f t="shared" si="38"/>
        <v>0</v>
      </c>
      <c r="P110" s="111">
        <f t="shared" si="38"/>
        <v>0</v>
      </c>
      <c r="Q110" s="111">
        <f t="shared" si="38"/>
        <v>0.39067242808448932</v>
      </c>
      <c r="R110" s="111">
        <f t="shared" si="38"/>
        <v>0</v>
      </c>
      <c r="S110" s="111">
        <f t="shared" si="38"/>
        <v>0</v>
      </c>
      <c r="T110" s="111">
        <f t="shared" si="38"/>
        <v>0.39067242808448932</v>
      </c>
      <c r="U110" s="111">
        <f t="shared" si="38"/>
        <v>0</v>
      </c>
      <c r="V110" s="111">
        <f t="shared" si="38"/>
        <v>0</v>
      </c>
      <c r="W110" s="111">
        <f t="shared" si="38"/>
        <v>0</v>
      </c>
      <c r="X110" s="111">
        <f t="shared" si="38"/>
        <v>0</v>
      </c>
      <c r="Y110" s="111">
        <f t="shared" si="38"/>
        <v>0</v>
      </c>
      <c r="Z110" s="111">
        <f t="shared" si="38"/>
        <v>0</v>
      </c>
      <c r="AA110" s="111">
        <f t="shared" si="38"/>
        <v>0</v>
      </c>
      <c r="AB110" s="111">
        <f t="shared" si="38"/>
        <v>0</v>
      </c>
      <c r="AT110" s="3"/>
    </row>
    <row r="111" spans="5:46" x14ac:dyDescent="0.25">
      <c r="F111" s="28" t="s">
        <v>450</v>
      </c>
      <c r="G111" s="28" t="s">
        <v>166</v>
      </c>
      <c r="J111" s="111">
        <f t="shared" ref="J111:AB111" si="39">IF(J$41, J$47, J$35)</f>
        <v>0.60361788113874959</v>
      </c>
      <c r="K111" s="111">
        <f t="shared" si="39"/>
        <v>0.60361788113874959</v>
      </c>
      <c r="L111" s="111">
        <f t="shared" si="39"/>
        <v>0.60361788113874959</v>
      </c>
      <c r="M111" s="111">
        <f t="shared" si="39"/>
        <v>0.60361788113874959</v>
      </c>
      <c r="N111" s="111">
        <f t="shared" si="39"/>
        <v>0.60361788113874959</v>
      </c>
      <c r="O111" s="111">
        <f t="shared" si="39"/>
        <v>0.34819248571328243</v>
      </c>
      <c r="P111" s="111">
        <f t="shared" si="39"/>
        <v>0.25174009320591562</v>
      </c>
      <c r="Q111" s="111">
        <f t="shared" si="39"/>
        <v>0.60361788113874959</v>
      </c>
      <c r="R111" s="111">
        <f t="shared" si="39"/>
        <v>0.34819248571328243</v>
      </c>
      <c r="S111" s="111">
        <f t="shared" si="39"/>
        <v>0.25174009320591562</v>
      </c>
      <c r="T111" s="111">
        <f t="shared" si="39"/>
        <v>0.60361788113874959</v>
      </c>
      <c r="U111" s="111">
        <f t="shared" si="39"/>
        <v>0</v>
      </c>
      <c r="V111" s="111">
        <f t="shared" si="39"/>
        <v>0</v>
      </c>
      <c r="W111" s="111">
        <f t="shared" si="39"/>
        <v>0</v>
      </c>
      <c r="X111" s="111">
        <f t="shared" si="39"/>
        <v>0</v>
      </c>
      <c r="Y111" s="111">
        <f t="shared" si="39"/>
        <v>0</v>
      </c>
      <c r="Z111" s="111">
        <f t="shared" si="39"/>
        <v>0</v>
      </c>
      <c r="AA111" s="111">
        <f t="shared" si="39"/>
        <v>0</v>
      </c>
      <c r="AB111" s="111">
        <f t="shared" si="39"/>
        <v>0</v>
      </c>
      <c r="AT111" s="3"/>
    </row>
    <row r="112" spans="5:46" x14ac:dyDescent="0.25">
      <c r="F112" s="28" t="s">
        <v>451</v>
      </c>
      <c r="G112" s="28" t="s">
        <v>250</v>
      </c>
      <c r="J112" s="98">
        <f t="shared" ref="J112:AB112" si="40">J108 * (1 - J110)</f>
        <v>0</v>
      </c>
      <c r="K112" s="98">
        <f t="shared" si="40"/>
        <v>0</v>
      </c>
      <c r="L112" s="98">
        <f t="shared" si="40"/>
        <v>0</v>
      </c>
      <c r="M112" s="98">
        <f t="shared" si="40"/>
        <v>0</v>
      </c>
      <c r="N112" s="98">
        <f t="shared" si="40"/>
        <v>6338.8347306370579</v>
      </c>
      <c r="O112" s="98">
        <f t="shared" si="40"/>
        <v>0</v>
      </c>
      <c r="P112" s="98">
        <f t="shared" si="40"/>
        <v>0</v>
      </c>
      <c r="Q112" s="98">
        <f t="shared" ref="Q112:S112" si="41">Q108 * (1 - Q110)</f>
        <v>0</v>
      </c>
      <c r="R112" s="98">
        <f t="shared" si="41"/>
        <v>0</v>
      </c>
      <c r="S112" s="98">
        <f t="shared" si="41"/>
        <v>0</v>
      </c>
      <c r="T112" s="98">
        <f t="shared" si="40"/>
        <v>0</v>
      </c>
      <c r="U112" s="98">
        <f t="shared" si="40"/>
        <v>0</v>
      </c>
      <c r="V112" s="98">
        <f t="shared" si="40"/>
        <v>0</v>
      </c>
      <c r="W112" s="98">
        <f t="shared" si="40"/>
        <v>0</v>
      </c>
      <c r="X112" s="98">
        <f t="shared" si="40"/>
        <v>0</v>
      </c>
      <c r="Y112" s="98">
        <f t="shared" si="40"/>
        <v>0</v>
      </c>
      <c r="Z112" s="98">
        <f t="shared" si="40"/>
        <v>0</v>
      </c>
      <c r="AA112" s="98">
        <f t="shared" si="40"/>
        <v>0</v>
      </c>
      <c r="AB112" s="98">
        <f t="shared" si="40"/>
        <v>0</v>
      </c>
      <c r="AT112" s="3"/>
    </row>
    <row r="113" spans="5:46" x14ac:dyDescent="0.25">
      <c r="F113" s="67" t="s">
        <v>452</v>
      </c>
      <c r="G113" s="67" t="s">
        <v>250</v>
      </c>
      <c r="H113" s="37"/>
      <c r="I113" s="37"/>
      <c r="J113" s="100">
        <f t="shared" ref="J113:AB113" si="42">J109 * (1 - J111)</f>
        <v>0</v>
      </c>
      <c r="K113" s="100">
        <f t="shared" si="42"/>
        <v>0</v>
      </c>
      <c r="L113" s="100">
        <f t="shared" si="42"/>
        <v>0</v>
      </c>
      <c r="M113" s="100">
        <f t="shared" si="42"/>
        <v>0</v>
      </c>
      <c r="N113" s="100">
        <f t="shared" si="42"/>
        <v>34728.62296190959</v>
      </c>
      <c r="O113" s="100">
        <f t="shared" si="42"/>
        <v>9122.0461624426116</v>
      </c>
      <c r="P113" s="100">
        <f t="shared" si="42"/>
        <v>21413.702012633108</v>
      </c>
      <c r="Q113" s="100">
        <f t="shared" ref="Q113:S113" si="43">Q109 * (1 - Q111)</f>
        <v>0</v>
      </c>
      <c r="R113" s="100">
        <f t="shared" si="43"/>
        <v>0</v>
      </c>
      <c r="S113" s="100">
        <f t="shared" si="43"/>
        <v>0</v>
      </c>
      <c r="T113" s="100">
        <f t="shared" si="42"/>
        <v>0</v>
      </c>
      <c r="U113" s="100">
        <f t="shared" si="42"/>
        <v>0</v>
      </c>
      <c r="V113" s="100">
        <f t="shared" si="42"/>
        <v>0</v>
      </c>
      <c r="W113" s="100">
        <f t="shared" si="42"/>
        <v>0</v>
      </c>
      <c r="X113" s="100">
        <f t="shared" si="42"/>
        <v>0</v>
      </c>
      <c r="Y113" s="100">
        <f t="shared" si="42"/>
        <v>0</v>
      </c>
      <c r="Z113" s="100">
        <f t="shared" si="42"/>
        <v>0</v>
      </c>
      <c r="AA113" s="100">
        <f t="shared" si="42"/>
        <v>0</v>
      </c>
      <c r="AB113" s="100">
        <f t="shared" si="42"/>
        <v>0</v>
      </c>
      <c r="AT113" s="3"/>
    </row>
    <row r="114" spans="5:46" x14ac:dyDescent="0.25">
      <c r="F114" s="28" t="s">
        <v>453</v>
      </c>
      <c r="G114" s="28" t="s">
        <v>250</v>
      </c>
      <c r="J114" s="121">
        <f t="shared" ref="J114:AB114" si="44">J107 + J112 + J113</f>
        <v>0</v>
      </c>
      <c r="K114" s="121">
        <f t="shared" si="44"/>
        <v>0</v>
      </c>
      <c r="L114" s="121">
        <f t="shared" si="44"/>
        <v>0</v>
      </c>
      <c r="M114" s="121">
        <f t="shared" si="44"/>
        <v>0</v>
      </c>
      <c r="N114" s="121">
        <f t="shared" si="44"/>
        <v>1506481.4576925465</v>
      </c>
      <c r="O114" s="121">
        <f t="shared" si="44"/>
        <v>101792.04616244261</v>
      </c>
      <c r="P114" s="121">
        <f t="shared" si="44"/>
        <v>1304272.7020126332</v>
      </c>
      <c r="Q114" s="121">
        <f t="shared" ref="Q114:S114" si="45">Q107 + Q112 + Q113</f>
        <v>0</v>
      </c>
      <c r="R114" s="121">
        <f t="shared" si="45"/>
        <v>0</v>
      </c>
      <c r="S114" s="121">
        <f t="shared" si="45"/>
        <v>0</v>
      </c>
      <c r="T114" s="121">
        <f t="shared" si="44"/>
        <v>0</v>
      </c>
      <c r="U114" s="121">
        <f t="shared" si="44"/>
        <v>0</v>
      </c>
      <c r="V114" s="121">
        <f t="shared" si="44"/>
        <v>0</v>
      </c>
      <c r="W114" s="121">
        <f t="shared" si="44"/>
        <v>0</v>
      </c>
      <c r="X114" s="121">
        <f t="shared" si="44"/>
        <v>0</v>
      </c>
      <c r="Y114" s="121">
        <f t="shared" si="44"/>
        <v>0</v>
      </c>
      <c r="Z114" s="121">
        <f t="shared" si="44"/>
        <v>0</v>
      </c>
      <c r="AA114" s="121">
        <f t="shared" si="44"/>
        <v>0</v>
      </c>
      <c r="AB114" s="121">
        <f t="shared" si="44"/>
        <v>0</v>
      </c>
      <c r="AT114" s="3"/>
    </row>
    <row r="115" spans="5:46" x14ac:dyDescent="0.25">
      <c r="E115" s="32"/>
      <c r="J115" s="89"/>
      <c r="K115" s="89"/>
      <c r="L115" s="89"/>
      <c r="M115" s="89"/>
      <c r="N115" s="89"/>
      <c r="O115" s="89"/>
      <c r="P115" s="89"/>
      <c r="Q115" s="89"/>
      <c r="R115" s="89"/>
      <c r="S115" s="89"/>
      <c r="T115" s="89"/>
      <c r="U115" s="89"/>
      <c r="V115" s="89"/>
      <c r="W115" s="89"/>
      <c r="X115" s="89"/>
      <c r="Y115" s="89"/>
      <c r="Z115" s="89"/>
      <c r="AA115" s="89"/>
      <c r="AB115" s="89"/>
      <c r="AT115" s="3"/>
    </row>
    <row r="116" spans="5:46" x14ac:dyDescent="0.25">
      <c r="E116" s="32" t="s">
        <v>251</v>
      </c>
      <c r="I116" t="s">
        <v>153</v>
      </c>
      <c r="J116" s="89"/>
      <c r="K116" s="89"/>
      <c r="L116" s="89"/>
      <c r="M116" s="89"/>
      <c r="N116" s="89"/>
      <c r="O116" s="89"/>
      <c r="P116" s="89"/>
      <c r="Q116" s="89"/>
      <c r="R116" s="89"/>
      <c r="S116" s="89"/>
      <c r="T116" s="89"/>
      <c r="U116" s="89"/>
      <c r="V116" s="89"/>
      <c r="W116" s="89"/>
      <c r="X116" s="89"/>
      <c r="Y116" s="89"/>
      <c r="Z116" s="89"/>
      <c r="AA116" s="89"/>
      <c r="AB116" s="89"/>
      <c r="AD116" t="s">
        <v>308</v>
      </c>
      <c r="AT116" s="3"/>
    </row>
    <row r="117" spans="5:46" x14ac:dyDescent="0.25">
      <c r="E117" s="32"/>
      <c r="J117" s="89"/>
      <c r="K117" s="89"/>
      <c r="L117" s="89"/>
      <c r="M117" s="89"/>
      <c r="N117" s="89"/>
      <c r="O117" s="89"/>
      <c r="P117" s="89"/>
      <c r="Q117" s="89"/>
      <c r="R117" s="89"/>
      <c r="S117" s="89"/>
      <c r="T117" s="89"/>
      <c r="U117" s="89"/>
      <c r="V117" s="89"/>
      <c r="W117" s="89"/>
      <c r="X117" s="89"/>
      <c r="Y117" s="89"/>
      <c r="Z117" s="89"/>
      <c r="AA117" s="89"/>
      <c r="AB117" s="89"/>
      <c r="AT117" s="3"/>
    </row>
    <row r="118" spans="5:46" x14ac:dyDescent="0.25">
      <c r="F118" s="28" t="s">
        <v>446</v>
      </c>
      <c r="G118" s="28" t="s">
        <v>250</v>
      </c>
      <c r="J118" s="120">
        <f>'Inputs by customer type'!J26</f>
        <v>0</v>
      </c>
      <c r="K118" s="120">
        <f>'Inputs by customer type'!K26</f>
        <v>0</v>
      </c>
      <c r="L118" s="120">
        <f>'Inputs by customer type'!L26</f>
        <v>0</v>
      </c>
      <c r="M118" s="120">
        <f>'Inputs by customer type'!M26</f>
        <v>0</v>
      </c>
      <c r="N118" s="120">
        <f>'Inputs by customer type'!N26</f>
        <v>29539.140000000003</v>
      </c>
      <c r="O118" s="120">
        <f>'Inputs by customer type'!O26</f>
        <v>1042.17</v>
      </c>
      <c r="P118" s="120">
        <f>'Inputs by customer type'!P26</f>
        <v>16267.89</v>
      </c>
      <c r="Q118" s="120">
        <f>'Inputs by customer type'!Q26</f>
        <v>0</v>
      </c>
      <c r="R118" s="120">
        <f>'Inputs by customer type'!R26</f>
        <v>0</v>
      </c>
      <c r="S118" s="120">
        <f>'Inputs by customer type'!S26</f>
        <v>0</v>
      </c>
      <c r="T118" s="120">
        <f>'Inputs by customer type'!T26</f>
        <v>0</v>
      </c>
      <c r="U118" s="120">
        <f>'Inputs by customer type'!U26</f>
        <v>0</v>
      </c>
      <c r="V118" s="120">
        <f>'Inputs by customer type'!V26</f>
        <v>0</v>
      </c>
      <c r="W118" s="120">
        <f>'Inputs by customer type'!W26</f>
        <v>0</v>
      </c>
      <c r="X118" s="120">
        <f>'Inputs by customer type'!X26</f>
        <v>0</v>
      </c>
      <c r="Y118" s="120">
        <f>'Inputs by customer type'!Y26</f>
        <v>0</v>
      </c>
      <c r="Z118" s="120">
        <f>'Inputs by customer type'!Z26</f>
        <v>0</v>
      </c>
      <c r="AA118" s="120">
        <f>'Inputs by customer type'!AA26</f>
        <v>0</v>
      </c>
      <c r="AB118" s="120">
        <f>'Inputs by customer type'!AB26</f>
        <v>0</v>
      </c>
      <c r="AT118" s="3"/>
    </row>
    <row r="119" spans="5:46" x14ac:dyDescent="0.25">
      <c r="F119" s="28" t="s">
        <v>447</v>
      </c>
      <c r="G119" s="28" t="s">
        <v>250</v>
      </c>
      <c r="J119" s="120">
        <f>'Inputs by customer type'!J35</f>
        <v>0</v>
      </c>
      <c r="K119" s="120">
        <f>'Inputs by customer type'!K35</f>
        <v>0</v>
      </c>
      <c r="L119" s="120">
        <f>'Inputs by customer type'!L35</f>
        <v>0</v>
      </c>
      <c r="M119" s="120">
        <f>'Inputs by customer type'!M35</f>
        <v>0</v>
      </c>
      <c r="N119" s="120">
        <f>'Inputs by customer type'!N35</f>
        <v>41.612000000000002</v>
      </c>
      <c r="O119" s="120">
        <f>'Inputs by customer type'!O35</f>
        <v>0</v>
      </c>
      <c r="P119" s="120">
        <f>'Inputs by customer type'!P35</f>
        <v>0</v>
      </c>
      <c r="Q119" s="120">
        <f>'Inputs by customer type'!Q35</f>
        <v>0</v>
      </c>
      <c r="R119" s="120">
        <f>'Inputs by customer type'!R35</f>
        <v>0</v>
      </c>
      <c r="S119" s="120">
        <f>'Inputs by customer type'!S35</f>
        <v>0</v>
      </c>
      <c r="T119" s="120">
        <f>'Inputs by customer type'!T35</f>
        <v>0</v>
      </c>
      <c r="U119" s="120">
        <f>'Inputs by customer type'!U35</f>
        <v>0</v>
      </c>
      <c r="V119" s="120">
        <f>'Inputs by customer type'!V35</f>
        <v>0</v>
      </c>
      <c r="W119" s="120">
        <f>'Inputs by customer type'!W35</f>
        <v>0</v>
      </c>
      <c r="X119" s="120">
        <f>'Inputs by customer type'!X35</f>
        <v>0</v>
      </c>
      <c r="Y119" s="120">
        <f>'Inputs by customer type'!Y35</f>
        <v>0</v>
      </c>
      <c r="Z119" s="120">
        <f>'Inputs by customer type'!Z35</f>
        <v>0</v>
      </c>
      <c r="AA119" s="120">
        <f>'Inputs by customer type'!AA35</f>
        <v>0</v>
      </c>
      <c r="AB119" s="120">
        <f>'Inputs by customer type'!AB35</f>
        <v>0</v>
      </c>
      <c r="AT119" s="3"/>
    </row>
    <row r="120" spans="5:46" x14ac:dyDescent="0.25">
      <c r="F120" s="28" t="s">
        <v>448</v>
      </c>
      <c r="G120" s="28" t="s">
        <v>250</v>
      </c>
      <c r="J120" s="120">
        <f>'Inputs by customer type'!J44</f>
        <v>0</v>
      </c>
      <c r="K120" s="120">
        <f>'Inputs by customer type'!K44</f>
        <v>0</v>
      </c>
      <c r="L120" s="120">
        <f>'Inputs by customer type'!L44</f>
        <v>0</v>
      </c>
      <c r="M120" s="120">
        <f>'Inputs by customer type'!M44</f>
        <v>0</v>
      </c>
      <c r="N120" s="120">
        <f>'Inputs by customer type'!N44</f>
        <v>175.22800000000001</v>
      </c>
      <c r="O120" s="120">
        <f>'Inputs by customer type'!O44</f>
        <v>0</v>
      </c>
      <c r="P120" s="120">
        <f>'Inputs by customer type'!P44</f>
        <v>14.309000000000001</v>
      </c>
      <c r="Q120" s="120">
        <f>'Inputs by customer type'!Q44</f>
        <v>0</v>
      </c>
      <c r="R120" s="120">
        <f>'Inputs by customer type'!R44</f>
        <v>0</v>
      </c>
      <c r="S120" s="120">
        <f>'Inputs by customer type'!S44</f>
        <v>0</v>
      </c>
      <c r="T120" s="120">
        <f>'Inputs by customer type'!T44</f>
        <v>0</v>
      </c>
      <c r="U120" s="120">
        <f>'Inputs by customer type'!U44</f>
        <v>0</v>
      </c>
      <c r="V120" s="120">
        <f>'Inputs by customer type'!V44</f>
        <v>0</v>
      </c>
      <c r="W120" s="120">
        <f>'Inputs by customer type'!W44</f>
        <v>0</v>
      </c>
      <c r="X120" s="120">
        <f>'Inputs by customer type'!X44</f>
        <v>0</v>
      </c>
      <c r="Y120" s="120">
        <f>'Inputs by customer type'!Y44</f>
        <v>0</v>
      </c>
      <c r="Z120" s="120">
        <f>'Inputs by customer type'!Z44</f>
        <v>0</v>
      </c>
      <c r="AA120" s="120">
        <f>'Inputs by customer type'!AA44</f>
        <v>0</v>
      </c>
      <c r="AB120" s="120">
        <f>'Inputs by customer type'!AB44</f>
        <v>0</v>
      </c>
      <c r="AT120" s="3"/>
    </row>
    <row r="121" spans="5:46" x14ac:dyDescent="0.25">
      <c r="F121" s="28" t="s">
        <v>449</v>
      </c>
      <c r="G121" s="28" t="s">
        <v>166</v>
      </c>
      <c r="J121" s="111">
        <f t="shared" ref="J121:AB121" si="46">IF(J$42, J$48, J$34)</f>
        <v>0.39067242808448932</v>
      </c>
      <c r="K121" s="111">
        <f t="shared" si="46"/>
        <v>0.39067242808448932</v>
      </c>
      <c r="L121" s="111">
        <f t="shared" si="46"/>
        <v>0.39067242808448932</v>
      </c>
      <c r="M121" s="111">
        <f t="shared" si="46"/>
        <v>0.39067242808448932</v>
      </c>
      <c r="N121" s="111">
        <f t="shared" si="46"/>
        <v>0.39067242808448932</v>
      </c>
      <c r="O121" s="111">
        <f t="shared" si="46"/>
        <v>0</v>
      </c>
      <c r="P121" s="111">
        <f t="shared" si="46"/>
        <v>0</v>
      </c>
      <c r="Q121" s="111">
        <f t="shared" si="46"/>
        <v>0.39067242808448932</v>
      </c>
      <c r="R121" s="111">
        <f t="shared" si="46"/>
        <v>0</v>
      </c>
      <c r="S121" s="111">
        <f t="shared" si="46"/>
        <v>0</v>
      </c>
      <c r="T121" s="111">
        <f t="shared" si="46"/>
        <v>0.39067242808448932</v>
      </c>
      <c r="U121" s="111">
        <f t="shared" si="46"/>
        <v>0</v>
      </c>
      <c r="V121" s="111">
        <f t="shared" si="46"/>
        <v>0</v>
      </c>
      <c r="W121" s="111">
        <f t="shared" si="46"/>
        <v>0</v>
      </c>
      <c r="X121" s="111">
        <f t="shared" si="46"/>
        <v>0</v>
      </c>
      <c r="Y121" s="111">
        <f t="shared" si="46"/>
        <v>0</v>
      </c>
      <c r="Z121" s="111">
        <f t="shared" si="46"/>
        <v>0</v>
      </c>
      <c r="AA121" s="111">
        <f t="shared" si="46"/>
        <v>0</v>
      </c>
      <c r="AB121" s="111">
        <f t="shared" si="46"/>
        <v>0</v>
      </c>
      <c r="AT121" s="3"/>
    </row>
    <row r="122" spans="5:46" x14ac:dyDescent="0.25">
      <c r="F122" s="28" t="s">
        <v>450</v>
      </c>
      <c r="G122" s="28" t="s">
        <v>166</v>
      </c>
      <c r="J122" s="111">
        <f t="shared" ref="J122:AB122" si="47">IF(J$42, J$48, J$35)</f>
        <v>0.60361788113874959</v>
      </c>
      <c r="K122" s="111">
        <f t="shared" si="47"/>
        <v>0.60361788113874959</v>
      </c>
      <c r="L122" s="111">
        <f t="shared" si="47"/>
        <v>0.60361788113874959</v>
      </c>
      <c r="M122" s="111">
        <f t="shared" si="47"/>
        <v>0.60361788113874959</v>
      </c>
      <c r="N122" s="111">
        <f t="shared" si="47"/>
        <v>0.60361788113874959</v>
      </c>
      <c r="O122" s="111">
        <f t="shared" si="47"/>
        <v>0.34819248571328243</v>
      </c>
      <c r="P122" s="111">
        <f t="shared" si="47"/>
        <v>0.25174009320591562</v>
      </c>
      <c r="Q122" s="111">
        <f t="shared" si="47"/>
        <v>0.60361788113874959</v>
      </c>
      <c r="R122" s="111">
        <f t="shared" si="47"/>
        <v>0.34819248571328243</v>
      </c>
      <c r="S122" s="111">
        <f t="shared" si="47"/>
        <v>0.25174009320591562</v>
      </c>
      <c r="T122" s="111">
        <f t="shared" si="47"/>
        <v>0.60361788113874959</v>
      </c>
      <c r="U122" s="111">
        <f t="shared" si="47"/>
        <v>0</v>
      </c>
      <c r="V122" s="111">
        <f t="shared" si="47"/>
        <v>0</v>
      </c>
      <c r="W122" s="111">
        <f t="shared" si="47"/>
        <v>0</v>
      </c>
      <c r="X122" s="111">
        <f t="shared" si="47"/>
        <v>0</v>
      </c>
      <c r="Y122" s="111">
        <f t="shared" si="47"/>
        <v>0</v>
      </c>
      <c r="Z122" s="111">
        <f t="shared" si="47"/>
        <v>0</v>
      </c>
      <c r="AA122" s="111">
        <f t="shared" si="47"/>
        <v>0</v>
      </c>
      <c r="AB122" s="111">
        <f t="shared" si="47"/>
        <v>0</v>
      </c>
      <c r="AT122" s="3"/>
    </row>
    <row r="123" spans="5:46" x14ac:dyDescent="0.25">
      <c r="F123" s="28" t="s">
        <v>451</v>
      </c>
      <c r="G123" s="28" t="s">
        <v>250</v>
      </c>
      <c r="J123" s="98">
        <f t="shared" ref="J123:AB123" si="48">J119 * (1 - J121)</f>
        <v>0</v>
      </c>
      <c r="K123" s="98">
        <f t="shared" si="48"/>
        <v>0</v>
      </c>
      <c r="L123" s="98">
        <f t="shared" si="48"/>
        <v>0</v>
      </c>
      <c r="M123" s="98">
        <f t="shared" si="48"/>
        <v>0</v>
      </c>
      <c r="N123" s="98">
        <f t="shared" si="48"/>
        <v>25.355338922548231</v>
      </c>
      <c r="O123" s="98">
        <f t="shared" si="48"/>
        <v>0</v>
      </c>
      <c r="P123" s="98">
        <f t="shared" si="48"/>
        <v>0</v>
      </c>
      <c r="Q123" s="98">
        <f t="shared" ref="Q123:S123" si="49">Q119 * (1 - Q121)</f>
        <v>0</v>
      </c>
      <c r="R123" s="98">
        <f t="shared" si="49"/>
        <v>0</v>
      </c>
      <c r="S123" s="98">
        <f t="shared" si="49"/>
        <v>0</v>
      </c>
      <c r="T123" s="98">
        <f t="shared" si="48"/>
        <v>0</v>
      </c>
      <c r="U123" s="98">
        <f t="shared" si="48"/>
        <v>0</v>
      </c>
      <c r="V123" s="98">
        <f t="shared" si="48"/>
        <v>0</v>
      </c>
      <c r="W123" s="98">
        <f t="shared" si="48"/>
        <v>0</v>
      </c>
      <c r="X123" s="98">
        <f t="shared" si="48"/>
        <v>0</v>
      </c>
      <c r="Y123" s="98">
        <f t="shared" si="48"/>
        <v>0</v>
      </c>
      <c r="Z123" s="98">
        <f t="shared" si="48"/>
        <v>0</v>
      </c>
      <c r="AA123" s="98">
        <f t="shared" si="48"/>
        <v>0</v>
      </c>
      <c r="AB123" s="98">
        <f t="shared" si="48"/>
        <v>0</v>
      </c>
      <c r="AT123" s="3"/>
    </row>
    <row r="124" spans="5:46" x14ac:dyDescent="0.25">
      <c r="F124" s="67" t="s">
        <v>452</v>
      </c>
      <c r="G124" s="67" t="s">
        <v>250</v>
      </c>
      <c r="H124" s="37"/>
      <c r="I124" s="37"/>
      <c r="J124" s="100">
        <f t="shared" ref="J124:AB124" si="50">J120 * (1 - J122)</f>
        <v>0</v>
      </c>
      <c r="K124" s="100">
        <f t="shared" si="50"/>
        <v>0</v>
      </c>
      <c r="L124" s="100">
        <f t="shared" si="50"/>
        <v>0</v>
      </c>
      <c r="M124" s="100">
        <f t="shared" si="50"/>
        <v>0</v>
      </c>
      <c r="N124" s="100">
        <f t="shared" si="50"/>
        <v>69.457245923819187</v>
      </c>
      <c r="O124" s="100">
        <f t="shared" si="50"/>
        <v>0</v>
      </c>
      <c r="P124" s="100">
        <f t="shared" si="50"/>
        <v>10.706851006316555</v>
      </c>
      <c r="Q124" s="100">
        <f t="shared" ref="Q124:S124" si="51">Q120 * (1 - Q122)</f>
        <v>0</v>
      </c>
      <c r="R124" s="100">
        <f t="shared" si="51"/>
        <v>0</v>
      </c>
      <c r="S124" s="100">
        <f t="shared" si="51"/>
        <v>0</v>
      </c>
      <c r="T124" s="100">
        <f t="shared" si="50"/>
        <v>0</v>
      </c>
      <c r="U124" s="100">
        <f t="shared" si="50"/>
        <v>0</v>
      </c>
      <c r="V124" s="100">
        <f t="shared" si="50"/>
        <v>0</v>
      </c>
      <c r="W124" s="100">
        <f t="shared" si="50"/>
        <v>0</v>
      </c>
      <c r="X124" s="100">
        <f t="shared" si="50"/>
        <v>0</v>
      </c>
      <c r="Y124" s="100">
        <f t="shared" si="50"/>
        <v>0</v>
      </c>
      <c r="Z124" s="100">
        <f t="shared" si="50"/>
        <v>0</v>
      </c>
      <c r="AA124" s="100">
        <f t="shared" si="50"/>
        <v>0</v>
      </c>
      <c r="AB124" s="100">
        <f t="shared" si="50"/>
        <v>0</v>
      </c>
      <c r="AT124" s="3"/>
    </row>
    <row r="125" spans="5:46" x14ac:dyDescent="0.25">
      <c r="F125" s="28" t="s">
        <v>453</v>
      </c>
      <c r="G125" s="28" t="s">
        <v>250</v>
      </c>
      <c r="J125" s="121">
        <f t="shared" ref="J125:AB125" si="52">J118 + J123 + J124</f>
        <v>0</v>
      </c>
      <c r="K125" s="121">
        <f t="shared" si="52"/>
        <v>0</v>
      </c>
      <c r="L125" s="121">
        <f t="shared" si="52"/>
        <v>0</v>
      </c>
      <c r="M125" s="121">
        <f t="shared" si="52"/>
        <v>0</v>
      </c>
      <c r="N125" s="121">
        <f t="shared" si="52"/>
        <v>29633.952584846371</v>
      </c>
      <c r="O125" s="121">
        <f t="shared" si="52"/>
        <v>1042.17</v>
      </c>
      <c r="P125" s="121">
        <f t="shared" si="52"/>
        <v>16278.596851006316</v>
      </c>
      <c r="Q125" s="121">
        <f t="shared" ref="Q125:S125" si="53">Q118 + Q123 + Q124</f>
        <v>0</v>
      </c>
      <c r="R125" s="121">
        <f t="shared" si="53"/>
        <v>0</v>
      </c>
      <c r="S125" s="121">
        <f t="shared" si="53"/>
        <v>0</v>
      </c>
      <c r="T125" s="121">
        <f t="shared" si="52"/>
        <v>0</v>
      </c>
      <c r="U125" s="121">
        <f t="shared" si="52"/>
        <v>0</v>
      </c>
      <c r="V125" s="121">
        <f t="shared" si="52"/>
        <v>0</v>
      </c>
      <c r="W125" s="121">
        <f t="shared" si="52"/>
        <v>0</v>
      </c>
      <c r="X125" s="121">
        <f t="shared" si="52"/>
        <v>0</v>
      </c>
      <c r="Y125" s="121">
        <f t="shared" si="52"/>
        <v>0</v>
      </c>
      <c r="Z125" s="121">
        <f t="shared" si="52"/>
        <v>0</v>
      </c>
      <c r="AA125" s="121">
        <f t="shared" si="52"/>
        <v>0</v>
      </c>
      <c r="AB125" s="121">
        <f t="shared" si="52"/>
        <v>0</v>
      </c>
      <c r="AT125" s="3"/>
    </row>
    <row r="126" spans="5:46" x14ac:dyDescent="0.25">
      <c r="E126" s="32"/>
      <c r="J126" s="89"/>
      <c r="K126" s="89"/>
      <c r="L126" s="89"/>
      <c r="M126" s="89"/>
      <c r="N126" s="89"/>
      <c r="O126" s="89"/>
      <c r="P126" s="89"/>
      <c r="Q126" s="89"/>
      <c r="R126" s="89"/>
      <c r="S126" s="89"/>
      <c r="T126" s="89"/>
      <c r="U126" s="89"/>
      <c r="V126" s="89"/>
      <c r="W126" s="89"/>
      <c r="X126" s="89"/>
      <c r="Y126" s="89"/>
      <c r="Z126" s="89"/>
      <c r="AA126" s="89"/>
      <c r="AB126" s="89"/>
      <c r="AT126" s="3"/>
    </row>
    <row r="127" spans="5:46" x14ac:dyDescent="0.25">
      <c r="E127" s="32" t="s">
        <v>252</v>
      </c>
      <c r="I127" t="s">
        <v>153</v>
      </c>
      <c r="J127" s="89"/>
      <c r="K127" s="89"/>
      <c r="L127" s="89"/>
      <c r="M127" s="89"/>
      <c r="N127" s="89"/>
      <c r="O127" s="89"/>
      <c r="P127" s="89"/>
      <c r="Q127" s="89"/>
      <c r="R127" s="89"/>
      <c r="S127" s="89"/>
      <c r="T127" s="89"/>
      <c r="U127" s="89"/>
      <c r="V127" s="89"/>
      <c r="W127" s="89"/>
      <c r="X127" s="89"/>
      <c r="Y127" s="89"/>
      <c r="Z127" s="89"/>
      <c r="AA127" s="89"/>
      <c r="AB127" s="89"/>
      <c r="AD127" t="s">
        <v>308</v>
      </c>
      <c r="AT127" s="3"/>
    </row>
    <row r="128" spans="5:46" x14ac:dyDescent="0.25">
      <c r="E128" s="32"/>
      <c r="J128" s="89"/>
      <c r="K128" s="89"/>
      <c r="L128" s="89"/>
      <c r="M128" s="89"/>
      <c r="N128" s="89"/>
      <c r="O128" s="89"/>
      <c r="P128" s="89"/>
      <c r="Q128" s="89"/>
      <c r="R128" s="89"/>
      <c r="S128" s="89"/>
      <c r="T128" s="89"/>
      <c r="U128" s="89"/>
      <c r="V128" s="89"/>
      <c r="W128" s="89"/>
      <c r="X128" s="89"/>
      <c r="Y128" s="89"/>
      <c r="Z128" s="89"/>
      <c r="AA128" s="89"/>
      <c r="AB128" s="89"/>
      <c r="AT128" s="3"/>
    </row>
    <row r="129" spans="2:46" x14ac:dyDescent="0.25">
      <c r="F129" s="28" t="s">
        <v>446</v>
      </c>
      <c r="G129" s="28" t="s">
        <v>253</v>
      </c>
      <c r="J129" s="120">
        <f>'Inputs by customer type'!J27</f>
        <v>0</v>
      </c>
      <c r="K129" s="120">
        <f>'Inputs by customer type'!K27</f>
        <v>0</v>
      </c>
      <c r="L129" s="120">
        <f>'Inputs by customer type'!L27</f>
        <v>0</v>
      </c>
      <c r="M129" s="120">
        <f>'Inputs by customer type'!M27</f>
        <v>0</v>
      </c>
      <c r="N129" s="120">
        <f>'Inputs by customer type'!N27</f>
        <v>241920</v>
      </c>
      <c r="O129" s="120">
        <f>'Inputs by customer type'!O27</f>
        <v>19020</v>
      </c>
      <c r="P129" s="120">
        <f>'Inputs by customer type'!P27</f>
        <v>250200</v>
      </c>
      <c r="Q129" s="120">
        <f>'Inputs by customer type'!Q27</f>
        <v>0</v>
      </c>
      <c r="R129" s="120">
        <f>'Inputs by customer type'!R27</f>
        <v>0</v>
      </c>
      <c r="S129" s="120">
        <f>'Inputs by customer type'!S27</f>
        <v>0</v>
      </c>
      <c r="T129" s="120">
        <f>'Inputs by customer type'!T27</f>
        <v>0</v>
      </c>
      <c r="U129" s="120">
        <f>'Inputs by customer type'!U27</f>
        <v>0</v>
      </c>
      <c r="V129" s="120">
        <f>'Inputs by customer type'!V27</f>
        <v>0</v>
      </c>
      <c r="W129" s="120">
        <f>'Inputs by customer type'!W27</f>
        <v>4452</v>
      </c>
      <c r="X129" s="120">
        <f>'Inputs by customer type'!X27</f>
        <v>0</v>
      </c>
      <c r="Y129" s="120">
        <f>'Inputs by customer type'!Y27</f>
        <v>408</v>
      </c>
      <c r="Z129" s="120">
        <f>'Inputs by customer type'!Z27</f>
        <v>0</v>
      </c>
      <c r="AA129" s="120">
        <f>'Inputs by customer type'!AA27</f>
        <v>16464</v>
      </c>
      <c r="AB129" s="120">
        <f>'Inputs by customer type'!AB27</f>
        <v>0</v>
      </c>
      <c r="AT129" s="3"/>
    </row>
    <row r="130" spans="2:46" x14ac:dyDescent="0.25">
      <c r="F130" s="28" t="s">
        <v>447</v>
      </c>
      <c r="G130" s="28" t="s">
        <v>253</v>
      </c>
      <c r="J130" s="120">
        <f>'Inputs by customer type'!J36</f>
        <v>0</v>
      </c>
      <c r="K130" s="120">
        <f>'Inputs by customer type'!K36</f>
        <v>0</v>
      </c>
      <c r="L130" s="120">
        <f>'Inputs by customer type'!L36</f>
        <v>0</v>
      </c>
      <c r="M130" s="120">
        <f>'Inputs by customer type'!M36</f>
        <v>0</v>
      </c>
      <c r="N130" s="120">
        <f>'Inputs by customer type'!N36</f>
        <v>936</v>
      </c>
      <c r="O130" s="120">
        <f>'Inputs by customer type'!O36</f>
        <v>0</v>
      </c>
      <c r="P130" s="120">
        <f>'Inputs by customer type'!P36</f>
        <v>0</v>
      </c>
      <c r="Q130" s="120">
        <f>'Inputs by customer type'!Q36</f>
        <v>0</v>
      </c>
      <c r="R130" s="120">
        <f>'Inputs by customer type'!R36</f>
        <v>0</v>
      </c>
      <c r="S130" s="120">
        <f>'Inputs by customer type'!S36</f>
        <v>0</v>
      </c>
      <c r="T130" s="120">
        <f>'Inputs by customer type'!T36</f>
        <v>0</v>
      </c>
      <c r="U130" s="120">
        <f>'Inputs by customer type'!U36</f>
        <v>0</v>
      </c>
      <c r="V130" s="120">
        <f>'Inputs by customer type'!V36</f>
        <v>0</v>
      </c>
      <c r="W130" s="120">
        <f>'Inputs by customer type'!W36</f>
        <v>0</v>
      </c>
      <c r="X130" s="120">
        <f>'Inputs by customer type'!X36</f>
        <v>0</v>
      </c>
      <c r="Y130" s="120">
        <f>'Inputs by customer type'!Y36</f>
        <v>0</v>
      </c>
      <c r="Z130" s="120">
        <f>'Inputs by customer type'!Z36</f>
        <v>0</v>
      </c>
      <c r="AA130" s="120">
        <f>'Inputs by customer type'!AA36</f>
        <v>0</v>
      </c>
      <c r="AB130" s="120">
        <f>'Inputs by customer type'!AB36</f>
        <v>0</v>
      </c>
      <c r="AT130" s="3"/>
    </row>
    <row r="131" spans="2:46" x14ac:dyDescent="0.25">
      <c r="F131" s="28" t="s">
        <v>448</v>
      </c>
      <c r="G131" s="28" t="s">
        <v>253</v>
      </c>
      <c r="J131" s="120">
        <f>'Inputs by customer type'!J45</f>
        <v>0</v>
      </c>
      <c r="K131" s="120">
        <f>'Inputs by customer type'!K45</f>
        <v>0</v>
      </c>
      <c r="L131" s="120">
        <f>'Inputs by customer type'!L45</f>
        <v>0</v>
      </c>
      <c r="M131" s="120">
        <f>'Inputs by customer type'!M45</f>
        <v>0</v>
      </c>
      <c r="N131" s="120">
        <f>'Inputs by customer type'!N45</f>
        <v>9000</v>
      </c>
      <c r="O131" s="120">
        <f>'Inputs by customer type'!O45</f>
        <v>1320</v>
      </c>
      <c r="P131" s="120">
        <f>'Inputs by customer type'!P45</f>
        <v>1908</v>
      </c>
      <c r="Q131" s="120">
        <f>'Inputs by customer type'!Q45</f>
        <v>0</v>
      </c>
      <c r="R131" s="120">
        <f>'Inputs by customer type'!R45</f>
        <v>0</v>
      </c>
      <c r="S131" s="120">
        <f>'Inputs by customer type'!S45</f>
        <v>0</v>
      </c>
      <c r="T131" s="120">
        <f>'Inputs by customer type'!T45</f>
        <v>0</v>
      </c>
      <c r="U131" s="120">
        <f>'Inputs by customer type'!U45</f>
        <v>0</v>
      </c>
      <c r="V131" s="120">
        <f>'Inputs by customer type'!V45</f>
        <v>0</v>
      </c>
      <c r="W131" s="120">
        <f>'Inputs by customer type'!W45</f>
        <v>0</v>
      </c>
      <c r="X131" s="120">
        <f>'Inputs by customer type'!X45</f>
        <v>0</v>
      </c>
      <c r="Y131" s="120">
        <f>'Inputs by customer type'!Y45</f>
        <v>0</v>
      </c>
      <c r="Z131" s="120">
        <f>'Inputs by customer type'!Z45</f>
        <v>0</v>
      </c>
      <c r="AA131" s="120">
        <f>'Inputs by customer type'!AA45</f>
        <v>0</v>
      </c>
      <c r="AB131" s="120">
        <f>'Inputs by customer type'!AB45</f>
        <v>0</v>
      </c>
      <c r="AT131" s="3"/>
    </row>
    <row r="132" spans="2:46" x14ac:dyDescent="0.25">
      <c r="F132" s="28" t="s">
        <v>449</v>
      </c>
      <c r="G132" s="28" t="s">
        <v>166</v>
      </c>
      <c r="J132" s="111">
        <f t="shared" ref="J132:AB132" si="54">IF(J$43, J$49, J$34)</f>
        <v>0.39067242808448932</v>
      </c>
      <c r="K132" s="111">
        <f t="shared" si="54"/>
        <v>0.39067242808448932</v>
      </c>
      <c r="L132" s="111">
        <f t="shared" si="54"/>
        <v>0.39067242808448932</v>
      </c>
      <c r="M132" s="111">
        <f t="shared" si="54"/>
        <v>0.39067242808448932</v>
      </c>
      <c r="N132" s="111">
        <f t="shared" si="54"/>
        <v>0.39067242808448932</v>
      </c>
      <c r="O132" s="111">
        <f t="shared" si="54"/>
        <v>0</v>
      </c>
      <c r="P132" s="111">
        <f t="shared" si="54"/>
        <v>0</v>
      </c>
      <c r="Q132" s="111">
        <f t="shared" si="54"/>
        <v>0.39067242808448932</v>
      </c>
      <c r="R132" s="111">
        <f t="shared" si="54"/>
        <v>0</v>
      </c>
      <c r="S132" s="111">
        <f t="shared" si="54"/>
        <v>0</v>
      </c>
      <c r="T132" s="111">
        <f t="shared" si="54"/>
        <v>0.39067242808448932</v>
      </c>
      <c r="U132" s="111">
        <f t="shared" si="54"/>
        <v>0</v>
      </c>
      <c r="V132" s="111">
        <f t="shared" si="54"/>
        <v>0</v>
      </c>
      <c r="W132" s="111">
        <f t="shared" si="54"/>
        <v>0</v>
      </c>
      <c r="X132" s="111">
        <f t="shared" si="54"/>
        <v>0</v>
      </c>
      <c r="Y132" s="111">
        <f t="shared" si="54"/>
        <v>0</v>
      </c>
      <c r="Z132" s="111">
        <f t="shared" si="54"/>
        <v>0</v>
      </c>
      <c r="AA132" s="111">
        <f t="shared" si="54"/>
        <v>0</v>
      </c>
      <c r="AB132" s="111">
        <f t="shared" si="54"/>
        <v>0</v>
      </c>
      <c r="AT132" s="3"/>
    </row>
    <row r="133" spans="2:46" x14ac:dyDescent="0.25">
      <c r="F133" s="28" t="s">
        <v>450</v>
      </c>
      <c r="G133" s="28" t="s">
        <v>166</v>
      </c>
      <c r="J133" s="111">
        <f t="shared" ref="J133:AB133" si="55">IF(J$43, J$49, J$35)</f>
        <v>0.60361788113874959</v>
      </c>
      <c r="K133" s="111">
        <f t="shared" si="55"/>
        <v>0.60361788113874959</v>
      </c>
      <c r="L133" s="111">
        <f t="shared" si="55"/>
        <v>0.60361788113874959</v>
      </c>
      <c r="M133" s="111">
        <f t="shared" si="55"/>
        <v>0.60361788113874959</v>
      </c>
      <c r="N133" s="111">
        <f t="shared" si="55"/>
        <v>0.60361788113874959</v>
      </c>
      <c r="O133" s="111">
        <f t="shared" si="55"/>
        <v>0.34819248571328243</v>
      </c>
      <c r="P133" s="111">
        <f t="shared" si="55"/>
        <v>0.25174009320591562</v>
      </c>
      <c r="Q133" s="111">
        <f t="shared" si="55"/>
        <v>0.60361788113874959</v>
      </c>
      <c r="R133" s="111">
        <f t="shared" si="55"/>
        <v>0.34819248571328243</v>
      </c>
      <c r="S133" s="111">
        <f t="shared" si="55"/>
        <v>0.25174009320591562</v>
      </c>
      <c r="T133" s="111">
        <f t="shared" si="55"/>
        <v>0.60361788113874959</v>
      </c>
      <c r="U133" s="111">
        <f t="shared" si="55"/>
        <v>0</v>
      </c>
      <c r="V133" s="111">
        <f t="shared" si="55"/>
        <v>0</v>
      </c>
      <c r="W133" s="111">
        <f t="shared" si="55"/>
        <v>0</v>
      </c>
      <c r="X133" s="111">
        <f t="shared" si="55"/>
        <v>0</v>
      </c>
      <c r="Y133" s="111">
        <f t="shared" si="55"/>
        <v>0</v>
      </c>
      <c r="Z133" s="111">
        <f t="shared" si="55"/>
        <v>0</v>
      </c>
      <c r="AA133" s="111">
        <f t="shared" si="55"/>
        <v>0</v>
      </c>
      <c r="AB133" s="111">
        <f t="shared" si="55"/>
        <v>0</v>
      </c>
      <c r="AT133" s="3"/>
    </row>
    <row r="134" spans="2:46" x14ac:dyDescent="0.25">
      <c r="F134" s="28" t="s">
        <v>451</v>
      </c>
      <c r="G134" s="28" t="s">
        <v>253</v>
      </c>
      <c r="J134" s="98">
        <f t="shared" ref="J134:AB134" si="56">J130 * (1 - J132)</f>
        <v>0</v>
      </c>
      <c r="K134" s="98">
        <f t="shared" si="56"/>
        <v>0</v>
      </c>
      <c r="L134" s="98">
        <f t="shared" si="56"/>
        <v>0</v>
      </c>
      <c r="M134" s="98">
        <f t="shared" si="56"/>
        <v>0</v>
      </c>
      <c r="N134" s="98">
        <f t="shared" si="56"/>
        <v>570.330607312918</v>
      </c>
      <c r="O134" s="98">
        <f t="shared" si="56"/>
        <v>0</v>
      </c>
      <c r="P134" s="98">
        <f t="shared" si="56"/>
        <v>0</v>
      </c>
      <c r="Q134" s="98">
        <f t="shared" ref="Q134:S134" si="57">Q130 * (1 - Q132)</f>
        <v>0</v>
      </c>
      <c r="R134" s="98">
        <f t="shared" si="57"/>
        <v>0</v>
      </c>
      <c r="S134" s="98">
        <f t="shared" si="57"/>
        <v>0</v>
      </c>
      <c r="T134" s="98">
        <f t="shared" si="56"/>
        <v>0</v>
      </c>
      <c r="U134" s="98">
        <f t="shared" si="56"/>
        <v>0</v>
      </c>
      <c r="V134" s="98">
        <f t="shared" si="56"/>
        <v>0</v>
      </c>
      <c r="W134" s="98">
        <f t="shared" si="56"/>
        <v>0</v>
      </c>
      <c r="X134" s="98">
        <f t="shared" si="56"/>
        <v>0</v>
      </c>
      <c r="Y134" s="98">
        <f t="shared" si="56"/>
        <v>0</v>
      </c>
      <c r="Z134" s="98">
        <f t="shared" si="56"/>
        <v>0</v>
      </c>
      <c r="AA134" s="98">
        <f t="shared" si="56"/>
        <v>0</v>
      </c>
      <c r="AB134" s="98">
        <f t="shared" si="56"/>
        <v>0</v>
      </c>
      <c r="AT134" s="3"/>
    </row>
    <row r="135" spans="2:46" x14ac:dyDescent="0.25">
      <c r="F135" s="67" t="s">
        <v>452</v>
      </c>
      <c r="G135" s="67" t="s">
        <v>253</v>
      </c>
      <c r="H135" s="37"/>
      <c r="I135" s="37"/>
      <c r="J135" s="100">
        <f t="shared" ref="J135:AB135" si="58">J131 * (1 - J133)</f>
        <v>0</v>
      </c>
      <c r="K135" s="100">
        <f t="shared" si="58"/>
        <v>0</v>
      </c>
      <c r="L135" s="100">
        <f t="shared" si="58"/>
        <v>0</v>
      </c>
      <c r="M135" s="100">
        <f t="shared" si="58"/>
        <v>0</v>
      </c>
      <c r="N135" s="100">
        <f t="shared" si="58"/>
        <v>3567.4390697512536</v>
      </c>
      <c r="O135" s="100">
        <f t="shared" si="58"/>
        <v>860.38591885846722</v>
      </c>
      <c r="P135" s="100">
        <f t="shared" si="58"/>
        <v>1427.679902163113</v>
      </c>
      <c r="Q135" s="100">
        <f t="shared" ref="Q135:S135" si="59">Q131 * (1 - Q133)</f>
        <v>0</v>
      </c>
      <c r="R135" s="100">
        <f t="shared" si="59"/>
        <v>0</v>
      </c>
      <c r="S135" s="100">
        <f t="shared" si="59"/>
        <v>0</v>
      </c>
      <c r="T135" s="100">
        <f t="shared" si="58"/>
        <v>0</v>
      </c>
      <c r="U135" s="100">
        <f t="shared" si="58"/>
        <v>0</v>
      </c>
      <c r="V135" s="100">
        <f t="shared" si="58"/>
        <v>0</v>
      </c>
      <c r="W135" s="100">
        <f t="shared" si="58"/>
        <v>0</v>
      </c>
      <c r="X135" s="100">
        <f t="shared" si="58"/>
        <v>0</v>
      </c>
      <c r="Y135" s="100">
        <f t="shared" si="58"/>
        <v>0</v>
      </c>
      <c r="Z135" s="100">
        <f t="shared" si="58"/>
        <v>0</v>
      </c>
      <c r="AA135" s="100">
        <f t="shared" si="58"/>
        <v>0</v>
      </c>
      <c r="AB135" s="100">
        <f t="shared" si="58"/>
        <v>0</v>
      </c>
      <c r="AT135" s="3"/>
    </row>
    <row r="136" spans="2:46" x14ac:dyDescent="0.25">
      <c r="F136" s="28" t="s">
        <v>453</v>
      </c>
      <c r="G136" s="28" t="s">
        <v>253</v>
      </c>
      <c r="J136" s="121">
        <f t="shared" ref="J136:AB136" si="60">J129 + J134 + J135</f>
        <v>0</v>
      </c>
      <c r="K136" s="121">
        <f t="shared" si="60"/>
        <v>0</v>
      </c>
      <c r="L136" s="121">
        <f t="shared" si="60"/>
        <v>0</v>
      </c>
      <c r="M136" s="121">
        <f t="shared" si="60"/>
        <v>0</v>
      </c>
      <c r="N136" s="121">
        <f t="shared" si="60"/>
        <v>246057.76967706415</v>
      </c>
      <c r="O136" s="121">
        <f t="shared" si="60"/>
        <v>19880.385918858468</v>
      </c>
      <c r="P136" s="121">
        <f t="shared" si="60"/>
        <v>251627.6799021631</v>
      </c>
      <c r="Q136" s="121">
        <f t="shared" ref="Q136:S136" si="61">Q129 + Q134 + Q135</f>
        <v>0</v>
      </c>
      <c r="R136" s="121">
        <f t="shared" si="61"/>
        <v>0</v>
      </c>
      <c r="S136" s="121">
        <f t="shared" si="61"/>
        <v>0</v>
      </c>
      <c r="T136" s="121">
        <f t="shared" si="60"/>
        <v>0</v>
      </c>
      <c r="U136" s="121">
        <f t="shared" si="60"/>
        <v>0</v>
      </c>
      <c r="V136" s="121">
        <f t="shared" si="60"/>
        <v>0</v>
      </c>
      <c r="W136" s="121">
        <f t="shared" si="60"/>
        <v>4452</v>
      </c>
      <c r="X136" s="121">
        <f t="shared" si="60"/>
        <v>0</v>
      </c>
      <c r="Y136" s="121">
        <f t="shared" si="60"/>
        <v>408</v>
      </c>
      <c r="Z136" s="121">
        <f t="shared" si="60"/>
        <v>0</v>
      </c>
      <c r="AA136" s="121">
        <f t="shared" si="60"/>
        <v>16464</v>
      </c>
      <c r="AB136" s="121">
        <f t="shared" si="60"/>
        <v>0</v>
      </c>
      <c r="AT136" s="3"/>
    </row>
    <row r="137" spans="2:46" x14ac:dyDescent="0.25">
      <c r="D137" s="32"/>
      <c r="AT137" s="3"/>
    </row>
    <row r="138" spans="2:46" x14ac:dyDescent="0.25">
      <c r="B138" s="30" t="s">
        <v>230</v>
      </c>
      <c r="C138" s="30"/>
      <c r="D138" s="30"/>
      <c r="E138" s="30"/>
      <c r="F138" s="30"/>
      <c r="G138" s="30"/>
      <c r="H138" s="30"/>
      <c r="I138" s="30"/>
      <c r="J138" s="30"/>
      <c r="K138" s="30"/>
      <c r="L138" s="30"/>
      <c r="M138" s="30"/>
      <c r="N138" s="30"/>
      <c r="O138" s="30"/>
      <c r="P138" s="30"/>
      <c r="Q138" s="30"/>
      <c r="R138" s="30"/>
      <c r="S138" s="30"/>
      <c r="T138" s="30"/>
      <c r="U138" s="30"/>
      <c r="V138" s="30"/>
      <c r="W138" s="30"/>
      <c r="X138" s="30"/>
      <c r="Y138" s="30"/>
      <c r="Z138" s="30"/>
      <c r="AA138" s="30"/>
      <c r="AB138" s="30"/>
      <c r="AC138" s="30"/>
      <c r="AD138" s="30"/>
      <c r="AF138" s="30"/>
      <c r="AG138" s="30"/>
      <c r="AH138" s="30"/>
      <c r="AI138" s="30"/>
      <c r="AJ138" s="30"/>
      <c r="AK138" s="30"/>
      <c r="AL138" s="30"/>
      <c r="AM138" s="30"/>
      <c r="AN138" s="30"/>
      <c r="AO138" s="30"/>
      <c r="AP138" s="30"/>
      <c r="AQ138" s="30"/>
      <c r="AR138" s="30"/>
      <c r="AT138" s="30"/>
    </row>
    <row r="140" spans="2:46" x14ac:dyDescent="0.25">
      <c r="E140" t="s">
        <v>231</v>
      </c>
      <c r="G140" s="6" t="s">
        <v>54</v>
      </c>
      <c r="H140" s="26">
        <f t="array" ref="H140">SUM(IF(ISERROR(H22:AB137), 1))</f>
        <v>0</v>
      </c>
    </row>
    <row r="142" spans="2:46" x14ac:dyDescent="0.25">
      <c r="B142" s="30" t="s">
        <v>105</v>
      </c>
      <c r="C142" s="30"/>
      <c r="D142" s="30"/>
      <c r="E142" s="30"/>
      <c r="F142" s="30"/>
      <c r="G142" s="30"/>
      <c r="H142" s="30"/>
      <c r="I142" s="30"/>
      <c r="J142" s="30"/>
      <c r="K142" s="30"/>
      <c r="L142" s="30"/>
      <c r="M142" s="30"/>
      <c r="N142" s="30"/>
      <c r="O142" s="30"/>
      <c r="P142" s="30"/>
      <c r="Q142" s="30"/>
      <c r="R142" s="30"/>
      <c r="S142" s="30"/>
      <c r="T142" s="30"/>
      <c r="U142" s="30"/>
      <c r="V142" s="30"/>
      <c r="W142" s="30"/>
      <c r="X142" s="30"/>
      <c r="Y142" s="30"/>
      <c r="Z142" s="30"/>
      <c r="AA142" s="30"/>
      <c r="AB142" s="30"/>
      <c r="AC142" s="30"/>
      <c r="AD142" s="30"/>
      <c r="AF142" s="30"/>
      <c r="AG142" s="30"/>
      <c r="AH142" s="30"/>
      <c r="AI142" s="30"/>
      <c r="AJ142" s="30"/>
      <c r="AK142" s="30"/>
      <c r="AL142" s="30"/>
      <c r="AM142" s="30"/>
      <c r="AN142" s="30"/>
      <c r="AO142" s="30"/>
      <c r="AP142" s="30"/>
      <c r="AQ142" s="30"/>
      <c r="AR142" s="30"/>
      <c r="AT142" s="30"/>
    </row>
  </sheetData>
  <sheetProtection sheet="1" objects="1" formatCells="0" formatColumns="0" formatRows="0" sort="0" autoFilter="0"/>
  <conditionalFormatting sqref="H140">
    <cfRule type="cellIs" dxfId="166" priority="10" operator="greaterThan">
      <formula>0</formula>
    </cfRule>
  </conditionalFormatting>
  <conditionalFormatting sqref="A4:I4 AC4:XFD4">
    <cfRule type="expression" dxfId="165" priority="9">
      <formula>LEFT($A$4,1) &lt;&gt; "0"</formula>
    </cfRule>
  </conditionalFormatting>
  <conditionalFormatting sqref="N4:S4">
    <cfRule type="expression" dxfId="164" priority="8">
      <formula>LEFT($A$4,1) &lt;&gt; "0"</formula>
    </cfRule>
  </conditionalFormatting>
  <conditionalFormatting sqref="L4:M4">
    <cfRule type="expression" dxfId="163" priority="7">
      <formula>LEFT($A$4,1) &lt;&gt; "0"</formula>
    </cfRule>
  </conditionalFormatting>
  <conditionalFormatting sqref="J4:K4">
    <cfRule type="expression" dxfId="162" priority="6">
      <formula>LEFT($A$4,1) &lt;&gt; "0"</formula>
    </cfRule>
  </conditionalFormatting>
  <conditionalFormatting sqref="T4">
    <cfRule type="expression" dxfId="161" priority="5">
      <formula>LEFT($A$4,1) &lt;&gt; "0"</formula>
    </cfRule>
  </conditionalFormatting>
  <conditionalFormatting sqref="U4:V4">
    <cfRule type="expression" dxfId="160" priority="4">
      <formula>LEFT($A$4,1) &lt;&gt; "0"</formula>
    </cfRule>
  </conditionalFormatting>
  <conditionalFormatting sqref="W4:X4">
    <cfRule type="expression" dxfId="159" priority="3">
      <formula>LEFT($A$4,1) &lt;&gt; "0"</formula>
    </cfRule>
  </conditionalFormatting>
  <conditionalFormatting sqref="Y4:Z4">
    <cfRule type="expression" dxfId="158" priority="2">
      <formula>LEFT($A$4,1) &lt;&gt; "0"</formula>
    </cfRule>
  </conditionalFormatting>
  <conditionalFormatting sqref="AA4:AB4">
    <cfRule type="expression" dxfId="157" priority="1">
      <formula>LEFT($A$4,1) &lt;&gt; "0"</formula>
    </cfRule>
  </conditionalFormatting>
  <hyperlinks>
    <hyperlink ref="B5:F5" location="'Model map'!A1" display="Click here to return to model map" xr:uid="{00000000-0004-0000-0C00-000000000000}"/>
  </hyperlinks>
  <pageMargins left="0.7" right="0.7" top="0.75" bottom="0.75" header="0.3" footer="0.3"/>
  <pageSetup paperSize="9" fitToHeight="0" orientation="portrait" r:id="rId1"/>
  <headerFooter>
    <oddHeader>&amp;L&amp;A&amp;C&amp;R&amp;P of &amp;N</oddHeader>
    <oddFooter>&amp;F</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6">
    <tabColor theme="4" tint="0.59999389629810485"/>
    <pageSetUpPr fitToPage="1"/>
  </sheetPr>
  <dimension ref="A1:KT308"/>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8" width="17" customWidth="1"/>
    <col min="29" max="29" width="2.42578125" customWidth="1"/>
    <col min="30" max="30" width="50.5703125" customWidth="1"/>
    <col min="31" max="31" width="2.42578125" customWidth="1"/>
    <col min="32" max="32" width="24.5703125" hidden="1" customWidth="1"/>
    <col min="33" max="33" width="3.5703125" hidden="1" customWidth="1"/>
    <col min="34" max="34" width="15.42578125" hidden="1" customWidth="1"/>
    <col min="35" max="306" width="24.5703125" hidden="1" customWidth="1"/>
    <col min="307" max="16384" width="8.7109375" hidden="1"/>
  </cols>
  <sheetData>
    <row r="1" spans="1:30" s="1" customFormat="1" x14ac:dyDescent="0.25">
      <c r="A1" s="1" t="str">
        <f ca="1">MID(CELL("filename",A1),FIND("]",CELL("filename",A1))+1,255)</f>
        <v>Pseudo-load coefficients</v>
      </c>
    </row>
    <row r="2" spans="1:30" s="1" customFormat="1" x14ac:dyDescent="0.25">
      <c r="A2" s="1" t="str">
        <f>Cover!D21&amp;" - "&amp;Cover!D23</f>
        <v>SP Distribution - Two</v>
      </c>
    </row>
    <row r="3" spans="1:30" s="5" customFormat="1" x14ac:dyDescent="0.25">
      <c r="A3" s="5" t="str">
        <f>Cover!D2&amp;" - "&amp;Cover!D8&amp;" v"&amp;Cover!D10&amp;" - "&amp;Cover!D19</f>
        <v>CDCM charging model - Release for charge setting v6 - 2021/22</v>
      </c>
    </row>
    <row r="4" spans="1:30" x14ac:dyDescent="0.25">
      <c r="A4" s="12" t="str">
        <f>H306 &amp; IF(H306 = 1, " issue", " issues") &amp;" identified in checks on this sheet"</f>
        <v>0 issues identified in checks on this sheet</v>
      </c>
      <c r="B4" s="13"/>
      <c r="C4" s="13"/>
      <c r="D4" s="13"/>
      <c r="E4" s="13"/>
      <c r="F4" s="13"/>
      <c r="G4" s="13"/>
      <c r="H4" s="14"/>
      <c r="I4" s="14"/>
    </row>
    <row r="5" spans="1:30" ht="60" x14ac:dyDescent="0.25">
      <c r="B5" s="59" t="s">
        <v>141</v>
      </c>
      <c r="C5" s="60"/>
      <c r="D5" s="60"/>
      <c r="E5" s="60"/>
      <c r="F5" s="60"/>
      <c r="G5" s="60" t="s">
        <v>142</v>
      </c>
      <c r="H5" s="114" t="s">
        <v>143</v>
      </c>
      <c r="I5" s="14"/>
      <c r="J5" s="114" t="s">
        <v>893</v>
      </c>
      <c r="K5" s="114" t="s">
        <v>895</v>
      </c>
      <c r="L5" s="114" t="s">
        <v>894</v>
      </c>
      <c r="M5" s="114" t="s">
        <v>896</v>
      </c>
      <c r="N5" s="114" t="s">
        <v>902</v>
      </c>
      <c r="O5" s="114" t="s">
        <v>903</v>
      </c>
      <c r="P5" s="114" t="s">
        <v>904</v>
      </c>
      <c r="Q5" s="114" t="s">
        <v>1027</v>
      </c>
      <c r="R5" s="114" t="s">
        <v>1028</v>
      </c>
      <c r="S5" s="114" t="s">
        <v>1029</v>
      </c>
      <c r="T5" s="114" t="s">
        <v>905</v>
      </c>
      <c r="U5" s="114" t="s">
        <v>897</v>
      </c>
      <c r="V5" s="114" t="s">
        <v>898</v>
      </c>
      <c r="W5" s="114" t="s">
        <v>899</v>
      </c>
      <c r="X5" s="114" t="s">
        <v>908</v>
      </c>
      <c r="Y5" s="114" t="s">
        <v>900</v>
      </c>
      <c r="Z5" s="114" t="s">
        <v>907</v>
      </c>
      <c r="AA5" s="114" t="s">
        <v>901</v>
      </c>
      <c r="AB5" s="114" t="s">
        <v>906</v>
      </c>
      <c r="AD5" s="60" t="s">
        <v>144</v>
      </c>
    </row>
    <row r="7" spans="1:30" x14ac:dyDescent="0.25">
      <c r="B7" s="30" t="s">
        <v>9</v>
      </c>
      <c r="C7" s="105"/>
      <c r="D7" s="104"/>
      <c r="E7" s="104"/>
      <c r="F7" s="105"/>
      <c r="G7" s="105"/>
      <c r="H7" s="105"/>
      <c r="I7" s="105"/>
      <c r="J7" s="105"/>
      <c r="K7" s="105"/>
      <c r="L7" s="105"/>
      <c r="M7" s="105"/>
      <c r="N7" s="105"/>
      <c r="O7" s="105"/>
      <c r="P7" s="105"/>
      <c r="Q7" s="105"/>
      <c r="R7" s="105"/>
      <c r="S7" s="105"/>
      <c r="T7" s="105"/>
      <c r="U7" s="105"/>
      <c r="V7" s="105"/>
      <c r="W7" s="105"/>
      <c r="X7" s="105"/>
      <c r="Y7" s="105"/>
      <c r="Z7" s="105"/>
      <c r="AA7" s="105"/>
      <c r="AB7" s="105"/>
      <c r="AC7" s="105"/>
      <c r="AD7" s="105"/>
    </row>
    <row r="9" spans="1:30" x14ac:dyDescent="0.25">
      <c r="C9" s="29" t="s">
        <v>977</v>
      </c>
    </row>
    <row r="10" spans="1:30" x14ac:dyDescent="0.25">
      <c r="C10" s="29" t="s">
        <v>455</v>
      </c>
    </row>
    <row r="11" spans="1:30" x14ac:dyDescent="0.25">
      <c r="C11" s="29" t="s">
        <v>456</v>
      </c>
    </row>
    <row r="13" spans="1:30" x14ac:dyDescent="0.25">
      <c r="B13" s="30" t="s">
        <v>457</v>
      </c>
      <c r="C13" s="105"/>
      <c r="D13" s="104"/>
      <c r="E13" s="104"/>
      <c r="F13" s="105"/>
      <c r="G13" s="105"/>
      <c r="H13" s="105"/>
      <c r="I13" s="105"/>
      <c r="J13" s="105"/>
      <c r="K13" s="105"/>
      <c r="L13" s="105"/>
      <c r="M13" s="105"/>
      <c r="N13" s="105"/>
      <c r="O13" s="105"/>
      <c r="P13" s="105"/>
      <c r="Q13" s="105"/>
      <c r="R13" s="105"/>
      <c r="S13" s="105"/>
      <c r="T13" s="105"/>
      <c r="U13" s="105"/>
      <c r="V13" s="105"/>
      <c r="W13" s="105"/>
      <c r="X13" s="105"/>
      <c r="Y13" s="105"/>
      <c r="Z13" s="105"/>
      <c r="AA13" s="105"/>
      <c r="AB13" s="105"/>
      <c r="AC13" s="105"/>
      <c r="AD13" s="105"/>
    </row>
    <row r="15" spans="1:30" x14ac:dyDescent="0.25">
      <c r="C15" s="29" t="s">
        <v>974</v>
      </c>
      <c r="I15" t="s">
        <v>153</v>
      </c>
      <c r="AD15" t="s">
        <v>975</v>
      </c>
    </row>
    <row r="16" spans="1:30" x14ac:dyDescent="0.25">
      <c r="C16" s="29" t="s">
        <v>458</v>
      </c>
    </row>
    <row r="18" spans="3:30" x14ac:dyDescent="0.25">
      <c r="C18" s="31" t="str">
        <f ca="1">INDEX('Version control'!$H$34:$H$57,MATCH($A$1,'Version control'!$F$34:$F$57,0),1)&amp;"-A: Flags and hours in timebands"</f>
        <v>Section 105-A: Flags and hours in timebands</v>
      </c>
      <c r="D18" s="31"/>
      <c r="E18" s="31"/>
      <c r="F18" s="31"/>
      <c r="G18" s="31"/>
      <c r="H18" s="31"/>
      <c r="I18" s="31"/>
      <c r="J18" s="31"/>
      <c r="K18" s="31"/>
      <c r="L18" s="31"/>
      <c r="M18" s="31"/>
      <c r="N18" s="31"/>
      <c r="O18" s="31"/>
      <c r="P18" s="31"/>
      <c r="Q18" s="31"/>
      <c r="R18" s="31"/>
      <c r="S18" s="31"/>
      <c r="T18" s="31"/>
      <c r="U18" s="31"/>
      <c r="V18" s="31"/>
      <c r="W18" s="31"/>
      <c r="X18" s="31"/>
      <c r="Y18" s="31"/>
      <c r="Z18" s="31"/>
      <c r="AA18" s="31"/>
      <c r="AB18" s="31"/>
      <c r="AC18" s="31"/>
      <c r="AD18" s="31"/>
    </row>
    <row r="20" spans="3:30" s="323" customFormat="1" x14ac:dyDescent="0.25">
      <c r="E20" s="324" t="s">
        <v>459</v>
      </c>
      <c r="F20" s="325"/>
      <c r="G20" s="325" t="s">
        <v>460</v>
      </c>
      <c r="J20" s="326" t="b">
        <f>'Fixed inputs'!J127</f>
        <v>0</v>
      </c>
      <c r="K20" s="326" t="b">
        <f>'Fixed inputs'!K127</f>
        <v>0</v>
      </c>
      <c r="L20" s="326" t="b">
        <f>'Fixed inputs'!L127</f>
        <v>0</v>
      </c>
      <c r="M20" s="326" t="b">
        <f>'Fixed inputs'!M127</f>
        <v>0</v>
      </c>
      <c r="N20" s="326" t="b">
        <f>'Fixed inputs'!N127</f>
        <v>0</v>
      </c>
      <c r="O20" s="326" t="b">
        <f>'Fixed inputs'!O127</f>
        <v>0</v>
      </c>
      <c r="P20" s="326" t="b">
        <f>'Fixed inputs'!P127</f>
        <v>0</v>
      </c>
      <c r="Q20" s="326" t="b">
        <f>'Fixed inputs'!Q127</f>
        <v>0</v>
      </c>
      <c r="R20" s="326" t="b">
        <f>'Fixed inputs'!R127</f>
        <v>0</v>
      </c>
      <c r="S20" s="326" t="b">
        <f>'Fixed inputs'!S127</f>
        <v>0</v>
      </c>
      <c r="T20" s="326" t="b">
        <f>'Fixed inputs'!T127</f>
        <v>1</v>
      </c>
      <c r="U20" s="326" t="b">
        <f>'Fixed inputs'!U127</f>
        <v>0</v>
      </c>
      <c r="V20" s="326" t="b">
        <f>'Fixed inputs'!V127</f>
        <v>0</v>
      </c>
      <c r="W20" s="326" t="b">
        <f>'Fixed inputs'!W127</f>
        <v>0</v>
      </c>
      <c r="X20" s="326" t="b">
        <f>'Fixed inputs'!X127</f>
        <v>0</v>
      </c>
      <c r="Y20" s="326" t="b">
        <f>'Fixed inputs'!Y127</f>
        <v>0</v>
      </c>
      <c r="Z20" s="326" t="b">
        <f>'Fixed inputs'!Z127</f>
        <v>0</v>
      </c>
      <c r="AA20" s="326" t="b">
        <f>'Fixed inputs'!AA127</f>
        <v>0</v>
      </c>
      <c r="AB20" s="326" t="b">
        <f>'Fixed inputs'!AB127</f>
        <v>0</v>
      </c>
    </row>
    <row r="22" spans="3:30" x14ac:dyDescent="0.25">
      <c r="E22" s="32" t="s">
        <v>461</v>
      </c>
      <c r="I22" t="s">
        <v>153</v>
      </c>
      <c r="AD22" t="s">
        <v>462</v>
      </c>
    </row>
    <row r="23" spans="3:30" x14ac:dyDescent="0.25">
      <c r="E23" s="29" t="s">
        <v>463</v>
      </c>
      <c r="F23" s="29"/>
    </row>
    <row r="24" spans="3:30" x14ac:dyDescent="0.25">
      <c r="F24" s="64" t="s">
        <v>464</v>
      </c>
      <c r="G24" s="64" t="s">
        <v>146</v>
      </c>
      <c r="H24" s="149"/>
      <c r="I24" s="149"/>
      <c r="J24" s="124">
        <f>IF(J$20, 'General inputs'!$H16, 'General inputs'!$H21)</f>
        <v>783</v>
      </c>
      <c r="K24" s="124">
        <f>IF(K$20, 'General inputs'!$H16, 'General inputs'!$H21)</f>
        <v>783</v>
      </c>
      <c r="L24" s="124">
        <f>IF(L$20, 'General inputs'!$H16, 'General inputs'!$H21)</f>
        <v>783</v>
      </c>
      <c r="M24" s="124">
        <f>IF(M$20, 'General inputs'!$H16, 'General inputs'!$H21)</f>
        <v>783</v>
      </c>
      <c r="N24" s="124">
        <f>IF(N$20, 'General inputs'!$H16, 'General inputs'!$H21)</f>
        <v>783</v>
      </c>
      <c r="O24" s="124">
        <f>IF(O$20, 'General inputs'!$H16, 'General inputs'!$H21)</f>
        <v>783</v>
      </c>
      <c r="P24" s="124">
        <f>IF(P$20, 'General inputs'!$H16, 'General inputs'!$H21)</f>
        <v>783</v>
      </c>
      <c r="Q24" s="124">
        <f>IF(Q$20, 'General inputs'!$H16, 'General inputs'!$H21)</f>
        <v>783</v>
      </c>
      <c r="R24" s="124">
        <f>IF(R$20, 'General inputs'!$H16, 'General inputs'!$H21)</f>
        <v>783</v>
      </c>
      <c r="S24" s="124">
        <f>IF(S$20, 'General inputs'!$H16, 'General inputs'!$H21)</f>
        <v>783</v>
      </c>
      <c r="T24" s="124">
        <f>IF(T$20, 'General inputs'!$H16, 'General inputs'!$H21)</f>
        <v>258</v>
      </c>
      <c r="U24" s="124">
        <f>IF(U$20, 'General inputs'!$H16, 'General inputs'!$H21)</f>
        <v>783</v>
      </c>
      <c r="V24" s="124">
        <f>IF(V$20, 'General inputs'!$H16, 'General inputs'!$H21)</f>
        <v>783</v>
      </c>
      <c r="W24" s="124">
        <f>IF(W$20, 'General inputs'!$H16, 'General inputs'!$H21)</f>
        <v>783</v>
      </c>
      <c r="X24" s="124">
        <f>IF(X$20, 'General inputs'!$H16, 'General inputs'!$H21)</f>
        <v>783</v>
      </c>
      <c r="Y24" s="124">
        <f>IF(Y$20, 'General inputs'!$H16, 'General inputs'!$H21)</f>
        <v>783</v>
      </c>
      <c r="Z24" s="124">
        <f>IF(Z$20, 'General inputs'!$H16, 'General inputs'!$H21)</f>
        <v>783</v>
      </c>
      <c r="AA24" s="124">
        <f>IF(AA$20, 'General inputs'!$H16, 'General inputs'!$H21)</f>
        <v>783</v>
      </c>
      <c r="AB24" s="124">
        <f>IF(AB$20, 'General inputs'!$H16, 'General inputs'!$H21)</f>
        <v>783</v>
      </c>
    </row>
    <row r="25" spans="3:30" x14ac:dyDescent="0.25">
      <c r="F25" s="28" t="s">
        <v>465</v>
      </c>
      <c r="G25" t="s">
        <v>146</v>
      </c>
      <c r="H25" s="150"/>
      <c r="I25" s="150"/>
      <c r="J25" s="120">
        <f>IF(J$20, 'General inputs'!$H17, 'General inputs'!$H22)</f>
        <v>3417.5</v>
      </c>
      <c r="K25" s="120">
        <f>IF(K$20, 'General inputs'!$H17, 'General inputs'!$H22)</f>
        <v>3417.5</v>
      </c>
      <c r="L25" s="120">
        <f>IF(L$20, 'General inputs'!$H17, 'General inputs'!$H22)</f>
        <v>3417.5</v>
      </c>
      <c r="M25" s="120">
        <f>IF(M$20, 'General inputs'!$H17, 'General inputs'!$H22)</f>
        <v>3417.5</v>
      </c>
      <c r="N25" s="120">
        <f>IF(N$20, 'General inputs'!$H17, 'General inputs'!$H22)</f>
        <v>3417.5</v>
      </c>
      <c r="O25" s="120">
        <f>IF(O$20, 'General inputs'!$H17, 'General inputs'!$H22)</f>
        <v>3417.5</v>
      </c>
      <c r="P25" s="120">
        <f>IF(P$20, 'General inputs'!$H17, 'General inputs'!$H22)</f>
        <v>3417.5</v>
      </c>
      <c r="Q25" s="120">
        <f>IF(Q$20, 'General inputs'!$H17, 'General inputs'!$H22)</f>
        <v>3417.5</v>
      </c>
      <c r="R25" s="120">
        <f>IF(R$20, 'General inputs'!$H17, 'General inputs'!$H22)</f>
        <v>3417.5</v>
      </c>
      <c r="S25" s="120">
        <f>IF(S$20, 'General inputs'!$H17, 'General inputs'!$H22)</f>
        <v>3417.5</v>
      </c>
      <c r="T25" s="120">
        <f>IF(T$20, 'General inputs'!$H17, 'General inputs'!$H22)</f>
        <v>3942.5</v>
      </c>
      <c r="U25" s="120">
        <f>IF(U$20, 'General inputs'!$H17, 'General inputs'!$H22)</f>
        <v>3417.5</v>
      </c>
      <c r="V25" s="120">
        <f>IF(V$20, 'General inputs'!$H17, 'General inputs'!$H22)</f>
        <v>3417.5</v>
      </c>
      <c r="W25" s="120">
        <f>IF(W$20, 'General inputs'!$H17, 'General inputs'!$H22)</f>
        <v>3417.5</v>
      </c>
      <c r="X25" s="120">
        <f>IF(X$20, 'General inputs'!$H17, 'General inputs'!$H22)</f>
        <v>3417.5</v>
      </c>
      <c r="Y25" s="120">
        <f>IF(Y$20, 'General inputs'!$H17, 'General inputs'!$H22)</f>
        <v>3417.5</v>
      </c>
      <c r="Z25" s="120">
        <f>IF(Z$20, 'General inputs'!$H17, 'General inputs'!$H22)</f>
        <v>3417.5</v>
      </c>
      <c r="AA25" s="120">
        <f>IF(AA$20, 'General inputs'!$H17, 'General inputs'!$H22)</f>
        <v>3417.5</v>
      </c>
      <c r="AB25" s="120">
        <f>IF(AB$20, 'General inputs'!$H17, 'General inputs'!$H22)</f>
        <v>3417.5</v>
      </c>
    </row>
    <row r="26" spans="3:30" x14ac:dyDescent="0.25">
      <c r="F26" s="67" t="s">
        <v>256</v>
      </c>
      <c r="G26" s="37" t="s">
        <v>146</v>
      </c>
      <c r="H26" s="151"/>
      <c r="I26" s="151"/>
      <c r="J26" s="125">
        <f>IF(J$20, 'General inputs'!$H18, 'General inputs'!$H23)</f>
        <v>4559.5</v>
      </c>
      <c r="K26" s="125">
        <f>IF(K$20, 'General inputs'!$H18, 'General inputs'!$H23)</f>
        <v>4559.5</v>
      </c>
      <c r="L26" s="125">
        <f>IF(L$20, 'General inputs'!$H18, 'General inputs'!$H23)</f>
        <v>4559.5</v>
      </c>
      <c r="M26" s="125">
        <f>IF(M$20, 'General inputs'!$H18, 'General inputs'!$H23)</f>
        <v>4559.5</v>
      </c>
      <c r="N26" s="125">
        <f>IF(N$20, 'General inputs'!$H18, 'General inputs'!$H23)</f>
        <v>4559.5</v>
      </c>
      <c r="O26" s="125">
        <f>IF(O$20, 'General inputs'!$H18, 'General inputs'!$H23)</f>
        <v>4559.5</v>
      </c>
      <c r="P26" s="125">
        <f>IF(P$20, 'General inputs'!$H18, 'General inputs'!$H23)</f>
        <v>4559.5</v>
      </c>
      <c r="Q26" s="125">
        <f>IF(Q$20, 'General inputs'!$H18, 'General inputs'!$H23)</f>
        <v>4559.5</v>
      </c>
      <c r="R26" s="125">
        <f>IF(R$20, 'General inputs'!$H18, 'General inputs'!$H23)</f>
        <v>4559.5</v>
      </c>
      <c r="S26" s="125">
        <f>IF(S$20, 'General inputs'!$H18, 'General inputs'!$H23)</f>
        <v>4559.5</v>
      </c>
      <c r="T26" s="125">
        <f>IF(T$20, 'General inputs'!$H18, 'General inputs'!$H23)</f>
        <v>4559.5</v>
      </c>
      <c r="U26" s="125">
        <f>IF(U$20, 'General inputs'!$H18, 'General inputs'!$H23)</f>
        <v>4559.5</v>
      </c>
      <c r="V26" s="125">
        <f>IF(V$20, 'General inputs'!$H18, 'General inputs'!$H23)</f>
        <v>4559.5</v>
      </c>
      <c r="W26" s="125">
        <f>IF(W$20, 'General inputs'!$H18, 'General inputs'!$H23)</f>
        <v>4559.5</v>
      </c>
      <c r="X26" s="125">
        <f>IF(X$20, 'General inputs'!$H18, 'General inputs'!$H23)</f>
        <v>4559.5</v>
      </c>
      <c r="Y26" s="125">
        <f>IF(Y$20, 'General inputs'!$H18, 'General inputs'!$H23)</f>
        <v>4559.5</v>
      </c>
      <c r="Z26" s="125">
        <f>IF(Z$20, 'General inputs'!$H18, 'General inputs'!$H23)</f>
        <v>4559.5</v>
      </c>
      <c r="AA26" s="125">
        <f>IF(AA$20, 'General inputs'!$H18, 'General inputs'!$H23)</f>
        <v>4559.5</v>
      </c>
      <c r="AB26" s="125">
        <f>IF(AB$20, 'General inputs'!$H18, 'General inputs'!$H23)</f>
        <v>4559.5</v>
      </c>
    </row>
    <row r="27" spans="3:30" x14ac:dyDescent="0.25">
      <c r="J27" s="89"/>
      <c r="K27" s="89"/>
      <c r="L27" s="89"/>
      <c r="M27" s="89"/>
      <c r="N27" s="89"/>
      <c r="O27" s="89"/>
      <c r="P27" s="89"/>
      <c r="Q27" s="89"/>
      <c r="R27" s="89"/>
      <c r="S27" s="89"/>
      <c r="T27" s="89"/>
      <c r="U27" s="89"/>
      <c r="V27" s="89"/>
      <c r="W27" s="89"/>
      <c r="X27" s="89"/>
      <c r="Y27" s="89"/>
      <c r="Z27" s="89"/>
      <c r="AA27" s="89"/>
      <c r="AB27" s="89"/>
    </row>
    <row r="28" spans="3:30" x14ac:dyDescent="0.25">
      <c r="C28" s="31" t="str">
        <f ca="1">INDEX('Version control'!$H$34:$H$57,MATCH($A$1,'Version control'!$F$34:$F$57,0),1)&amp;"-B: Average load by timeband"</f>
        <v>Section 105-B: Average load by timeband</v>
      </c>
      <c r="D28" s="31"/>
      <c r="E28" s="31"/>
      <c r="F28" s="31"/>
      <c r="G28" s="31"/>
      <c r="H28" s="31"/>
      <c r="I28" s="31"/>
      <c r="J28" s="90"/>
      <c r="K28" s="90"/>
      <c r="L28" s="90"/>
      <c r="M28" s="90"/>
      <c r="N28" s="90"/>
      <c r="O28" s="90"/>
      <c r="P28" s="90"/>
      <c r="Q28" s="90"/>
      <c r="R28" s="90"/>
      <c r="S28" s="90"/>
      <c r="T28" s="90"/>
      <c r="U28" s="90"/>
      <c r="V28" s="90"/>
      <c r="W28" s="90"/>
      <c r="X28" s="90"/>
      <c r="Y28" s="90"/>
      <c r="Z28" s="90"/>
      <c r="AA28" s="90"/>
      <c r="AB28" s="90"/>
      <c r="AC28" s="31"/>
      <c r="AD28" s="31"/>
    </row>
    <row r="29" spans="3:30" x14ac:dyDescent="0.25">
      <c r="J29" s="89"/>
      <c r="K29" s="89"/>
      <c r="L29" s="89"/>
      <c r="M29" s="89"/>
      <c r="N29" s="89"/>
      <c r="O29" s="89"/>
      <c r="P29" s="89"/>
      <c r="Q29" s="89"/>
      <c r="R29" s="89"/>
      <c r="S29" s="89"/>
      <c r="T29" s="89"/>
      <c r="U29" s="89"/>
      <c r="V29" s="89"/>
      <c r="W29" s="89"/>
      <c r="X29" s="89"/>
      <c r="Y29" s="89"/>
      <c r="Z29" s="89"/>
      <c r="AA29" s="89"/>
      <c r="AB29" s="89"/>
    </row>
    <row r="30" spans="3:30" x14ac:dyDescent="0.25">
      <c r="E30" s="32" t="s">
        <v>466</v>
      </c>
      <c r="J30" s="89"/>
      <c r="K30" s="89"/>
      <c r="L30" s="89"/>
      <c r="M30" s="89"/>
      <c r="N30" s="89"/>
      <c r="O30" s="89"/>
      <c r="P30" s="89"/>
      <c r="Q30" s="89"/>
      <c r="R30" s="89"/>
      <c r="S30" s="89"/>
      <c r="T30" s="89"/>
      <c r="U30" s="89"/>
      <c r="V30" s="89"/>
      <c r="W30" s="89"/>
      <c r="X30" s="89"/>
      <c r="Y30" s="89"/>
      <c r="Z30" s="89"/>
      <c r="AA30" s="89"/>
      <c r="AB30" s="89"/>
    </row>
    <row r="31" spans="3:30" x14ac:dyDescent="0.25">
      <c r="F31" s="64" t="s">
        <v>155</v>
      </c>
      <c r="G31" s="64" t="s">
        <v>206</v>
      </c>
      <c r="H31" s="23"/>
      <c r="I31" s="23"/>
      <c r="J31" s="124">
        <f>'Volume adjustments'!J66</f>
        <v>744507.47595921555</v>
      </c>
      <c r="K31" s="124">
        <f>'Volume adjustments'!K66</f>
        <v>1327.5662846544521</v>
      </c>
      <c r="L31" s="124">
        <f>'Volume adjustments'!L66</f>
        <v>188973.52230875273</v>
      </c>
      <c r="M31" s="124">
        <f>'Volume adjustments'!M66</f>
        <v>4172.2410596369182</v>
      </c>
      <c r="N31" s="124">
        <f>'Volume adjustments'!N66</f>
        <v>282075.14358760114</v>
      </c>
      <c r="O31" s="124">
        <f>'Volume adjustments'!O66</f>
        <v>23010.444191422164</v>
      </c>
      <c r="P31" s="124">
        <f>'Volume adjustments'!P66</f>
        <v>326311.94038013439</v>
      </c>
      <c r="Q31" s="124">
        <f>'Volume adjustments'!Q66</f>
        <v>0</v>
      </c>
      <c r="R31" s="124">
        <f>'Volume adjustments'!R66</f>
        <v>0</v>
      </c>
      <c r="S31" s="124">
        <f>'Volume adjustments'!S66</f>
        <v>0</v>
      </c>
      <c r="T31" s="124">
        <f>'Volume adjustments'!T66</f>
        <v>13868.974697310709</v>
      </c>
      <c r="U31" s="124">
        <f>'Volume adjustments'!U66</f>
        <v>140.04079826565675</v>
      </c>
      <c r="V31" s="124">
        <f>'Volume adjustments'!V66</f>
        <v>2.8776284544589532</v>
      </c>
      <c r="W31" s="124">
        <f>'Volume adjustments'!W66</f>
        <v>6131.3814104814819</v>
      </c>
      <c r="X31" s="124">
        <f>'Volume adjustments'!X66</f>
        <v>0</v>
      </c>
      <c r="Y31" s="124">
        <f>'Volume adjustments'!Y66</f>
        <v>144.6141525623608</v>
      </c>
      <c r="Z31" s="124">
        <f>'Volume adjustments'!Z66</f>
        <v>0</v>
      </c>
      <c r="AA31" s="124">
        <f>'Volume adjustments'!AA66</f>
        <v>116075.81817719914</v>
      </c>
      <c r="AB31" s="124">
        <f>'Volume adjustments'!AB66</f>
        <v>0</v>
      </c>
    </row>
    <row r="32" spans="3:30" x14ac:dyDescent="0.25">
      <c r="F32" s="28" t="s">
        <v>156</v>
      </c>
      <c r="G32" s="28" t="s">
        <v>206</v>
      </c>
      <c r="J32" s="120">
        <f>'Volume adjustments'!J77</f>
        <v>2645097.8394225296</v>
      </c>
      <c r="K32" s="120">
        <f>'Volume adjustments'!K77</f>
        <v>24035.071762789463</v>
      </c>
      <c r="L32" s="120">
        <f>'Volume adjustments'!L77</f>
        <v>1023624.1876166349</v>
      </c>
      <c r="M32" s="120">
        <f>'Volume adjustments'!M77</f>
        <v>25319.415482001521</v>
      </c>
      <c r="N32" s="120">
        <f>'Volume adjustments'!N77</f>
        <v>1350126.3314036345</v>
      </c>
      <c r="O32" s="120">
        <f>'Volume adjustments'!O77</f>
        <v>107501.34408049645</v>
      </c>
      <c r="P32" s="120">
        <f>'Volume adjustments'!P77</f>
        <v>1514334.2001053796</v>
      </c>
      <c r="Q32" s="120">
        <f>'Volume adjustments'!Q77</f>
        <v>0</v>
      </c>
      <c r="R32" s="120">
        <f>'Volume adjustments'!R77</f>
        <v>0</v>
      </c>
      <c r="S32" s="120">
        <f>'Volume adjustments'!S77</f>
        <v>0</v>
      </c>
      <c r="T32" s="120">
        <f>'Volume adjustments'!T77</f>
        <v>52882.399972899948</v>
      </c>
      <c r="U32" s="120">
        <f>'Volume adjustments'!U77</f>
        <v>628.61483547885325</v>
      </c>
      <c r="V32" s="120">
        <f>'Volume adjustments'!V77</f>
        <v>11.85801478940583</v>
      </c>
      <c r="W32" s="120">
        <f>'Volume adjustments'!W77</f>
        <v>27525.456251959484</v>
      </c>
      <c r="X32" s="120">
        <f>'Volume adjustments'!X77</f>
        <v>0</v>
      </c>
      <c r="Y32" s="120">
        <f>'Volume adjustments'!Y77</f>
        <v>597.34783091345412</v>
      </c>
      <c r="Z32" s="120">
        <f>'Volume adjustments'!Z77</f>
        <v>0</v>
      </c>
      <c r="AA32" s="120">
        <f>'Volume adjustments'!AA77</f>
        <v>445212.43930388504</v>
      </c>
      <c r="AB32" s="120">
        <f>'Volume adjustments'!AB77</f>
        <v>0</v>
      </c>
    </row>
    <row r="33" spans="3:30" x14ac:dyDescent="0.25">
      <c r="F33" s="28" t="s">
        <v>157</v>
      </c>
      <c r="G33" s="28" t="s">
        <v>206</v>
      </c>
      <c r="J33" s="120">
        <f>'Volume adjustments'!J88</f>
        <v>2435994.0010482869</v>
      </c>
      <c r="K33" s="120">
        <f>'Volume adjustments'!K88</f>
        <v>245515.14232274992</v>
      </c>
      <c r="L33" s="120">
        <f>'Volume adjustments'!L88</f>
        <v>988714.59609282145</v>
      </c>
      <c r="M33" s="120">
        <f>'Volume adjustments'!M88</f>
        <v>52561.158034119573</v>
      </c>
      <c r="N33" s="120">
        <f>'Volume adjustments'!N88</f>
        <v>1179031.4355710328</v>
      </c>
      <c r="O33" s="120">
        <f>'Volume adjustments'!O88</f>
        <v>106315.97183163626</v>
      </c>
      <c r="P33" s="120">
        <f>'Volume adjustments'!P88</f>
        <v>1621310.6751782417</v>
      </c>
      <c r="Q33" s="120">
        <f>'Volume adjustments'!Q88</f>
        <v>0</v>
      </c>
      <c r="R33" s="120">
        <f>'Volume adjustments'!R88</f>
        <v>0</v>
      </c>
      <c r="S33" s="120">
        <f>'Volume adjustments'!S88</f>
        <v>0</v>
      </c>
      <c r="T33" s="120">
        <f>'Volume adjustments'!T88</f>
        <v>189423.97703070924</v>
      </c>
      <c r="U33" s="120">
        <f>'Volume adjustments'!U88</f>
        <v>700.98374497632642</v>
      </c>
      <c r="V33" s="120">
        <f>'Volume adjustments'!V88</f>
        <v>16.006356756135215</v>
      </c>
      <c r="W33" s="120">
        <f>'Volume adjustments'!W88</f>
        <v>30981.276337559029</v>
      </c>
      <c r="X33" s="120">
        <f>'Volume adjustments'!X88</f>
        <v>0</v>
      </c>
      <c r="Y33" s="120">
        <f>'Volume adjustments'!Y88</f>
        <v>807.27901652418518</v>
      </c>
      <c r="Z33" s="120">
        <f>'Volume adjustments'!Z88</f>
        <v>0</v>
      </c>
      <c r="AA33" s="120">
        <f>'Volume adjustments'!AA88</f>
        <v>507559.16751891578</v>
      </c>
      <c r="AB33" s="120">
        <f>'Volume adjustments'!AB88</f>
        <v>0</v>
      </c>
    </row>
    <row r="34" spans="3:30" x14ac:dyDescent="0.25">
      <c r="F34" s="152" t="s">
        <v>454</v>
      </c>
      <c r="G34" s="152" t="s">
        <v>206</v>
      </c>
      <c r="H34" s="108"/>
      <c r="I34" s="108"/>
      <c r="J34" s="153">
        <f t="shared" ref="J34:AB34" si="0">SUM(J31:J33)</f>
        <v>5825599.3164300323</v>
      </c>
      <c r="K34" s="153">
        <f t="shared" si="0"/>
        <v>270877.78037019382</v>
      </c>
      <c r="L34" s="153">
        <f t="shared" si="0"/>
        <v>2201312.3060182091</v>
      </c>
      <c r="M34" s="153">
        <f t="shared" si="0"/>
        <v>82052.814575758006</v>
      </c>
      <c r="N34" s="153">
        <f t="shared" si="0"/>
        <v>2811232.9105622685</v>
      </c>
      <c r="O34" s="153">
        <f t="shared" si="0"/>
        <v>236827.76010355487</v>
      </c>
      <c r="P34" s="153">
        <f t="shared" si="0"/>
        <v>3461956.8156637559</v>
      </c>
      <c r="Q34" s="153">
        <f t="shared" ref="Q34:S34" si="1">SUM(Q31:Q33)</f>
        <v>0</v>
      </c>
      <c r="R34" s="153">
        <f t="shared" si="1"/>
        <v>0</v>
      </c>
      <c r="S34" s="153">
        <f t="shared" si="1"/>
        <v>0</v>
      </c>
      <c r="T34" s="153">
        <f t="shared" si="0"/>
        <v>256175.35170091991</v>
      </c>
      <c r="U34" s="153">
        <f t="shared" si="0"/>
        <v>1469.6393787208362</v>
      </c>
      <c r="V34" s="153">
        <f t="shared" si="0"/>
        <v>30.741999999999997</v>
      </c>
      <c r="W34" s="153">
        <f t="shared" si="0"/>
        <v>64638.113999999994</v>
      </c>
      <c r="X34" s="153">
        <f t="shared" si="0"/>
        <v>0</v>
      </c>
      <c r="Y34" s="153">
        <f t="shared" si="0"/>
        <v>1549.241</v>
      </c>
      <c r="Z34" s="153">
        <f t="shared" si="0"/>
        <v>0</v>
      </c>
      <c r="AA34" s="153">
        <f t="shared" si="0"/>
        <v>1068847.425</v>
      </c>
      <c r="AB34" s="153">
        <f t="shared" si="0"/>
        <v>0</v>
      </c>
    </row>
    <row r="35" spans="3:30" x14ac:dyDescent="0.25">
      <c r="F35" s="28"/>
      <c r="G35" s="28"/>
      <c r="J35" s="25"/>
      <c r="K35" s="25"/>
      <c r="L35" s="25"/>
      <c r="M35" s="25"/>
      <c r="N35" s="25"/>
      <c r="O35" s="25"/>
      <c r="P35" s="25"/>
      <c r="Q35" s="25"/>
      <c r="R35" s="25"/>
      <c r="S35" s="25"/>
      <c r="T35" s="25"/>
      <c r="U35" s="25"/>
      <c r="V35" s="25"/>
      <c r="W35" s="25"/>
      <c r="X35" s="25"/>
      <c r="Y35" s="25"/>
      <c r="Z35" s="25"/>
      <c r="AA35" s="25"/>
      <c r="AB35" s="25"/>
      <c r="AC35" s="25"/>
    </row>
    <row r="36" spans="3:30" x14ac:dyDescent="0.25">
      <c r="C36" s="31" t="str">
        <f ca="1">INDEX('Version control'!$H$34:$H$57,MATCH($A$1,'Version control'!$F$34:$F$57,0),1)&amp;"-C: Aggregated groups for pseudo-load coefficients"</f>
        <v>Section 105-C: Aggregated groups for pseudo-load coefficients</v>
      </c>
      <c r="D36" s="31"/>
      <c r="E36" s="31"/>
      <c r="F36" s="31"/>
      <c r="G36" s="31"/>
      <c r="H36" s="31"/>
      <c r="I36" s="31"/>
      <c r="J36" s="90"/>
      <c r="K36" s="90"/>
      <c r="L36" s="90"/>
      <c r="M36" s="90"/>
      <c r="N36" s="90"/>
      <c r="O36" s="90"/>
      <c r="P36" s="90"/>
      <c r="Q36" s="90"/>
      <c r="R36" s="90"/>
      <c r="S36" s="90"/>
      <c r="T36" s="90"/>
      <c r="U36" s="90"/>
      <c r="V36" s="90"/>
      <c r="W36" s="90"/>
      <c r="X36" s="90"/>
      <c r="Y36" s="90"/>
      <c r="Z36" s="90"/>
      <c r="AA36" s="90"/>
      <c r="AB36" s="90"/>
      <c r="AC36" s="31"/>
      <c r="AD36" s="31"/>
    </row>
    <row r="37" spans="3:30" x14ac:dyDescent="0.25">
      <c r="J37" s="89"/>
      <c r="K37" s="89"/>
      <c r="L37" s="89"/>
      <c r="M37" s="89"/>
      <c r="N37" s="89"/>
      <c r="O37" s="89"/>
      <c r="P37" s="89"/>
      <c r="Q37" s="89"/>
      <c r="R37" s="89"/>
      <c r="S37" s="89"/>
      <c r="T37" s="89"/>
      <c r="U37" s="89"/>
      <c r="V37" s="89"/>
      <c r="W37" s="89"/>
      <c r="X37" s="89"/>
      <c r="Y37" s="89"/>
      <c r="Z37" s="89"/>
      <c r="AA37" s="89"/>
      <c r="AB37" s="89"/>
    </row>
    <row r="38" spans="3:30" x14ac:dyDescent="0.25">
      <c r="E38" s="28" t="s">
        <v>960</v>
      </c>
      <c r="F38" s="28"/>
      <c r="G38" s="28" t="s">
        <v>148</v>
      </c>
      <c r="I38" s="332" t="s">
        <v>153</v>
      </c>
      <c r="J38" s="327">
        <f>'Fixed inputs'!J149</f>
        <v>1</v>
      </c>
      <c r="K38" s="327">
        <f>'Fixed inputs'!K149</f>
        <v>1</v>
      </c>
      <c r="L38" s="327">
        <f>'Fixed inputs'!L149</f>
        <v>2</v>
      </c>
      <c r="M38" s="327">
        <f>'Fixed inputs'!M149</f>
        <v>2</v>
      </c>
      <c r="N38" s="327">
        <f>'Fixed inputs'!N149</f>
        <v>3</v>
      </c>
      <c r="O38" s="327">
        <f>'Fixed inputs'!O149</f>
        <v>4</v>
      </c>
      <c r="P38" s="327">
        <f>'Fixed inputs'!P149</f>
        <v>5</v>
      </c>
      <c r="Q38" s="327">
        <f>'Fixed inputs'!Q149</f>
        <v>3</v>
      </c>
      <c r="R38" s="327">
        <f>'Fixed inputs'!R149</f>
        <v>4</v>
      </c>
      <c r="S38" s="327">
        <f>'Fixed inputs'!S149</f>
        <v>5</v>
      </c>
      <c r="T38" s="328"/>
      <c r="U38" s="328"/>
      <c r="V38" s="328"/>
      <c r="W38" s="328"/>
      <c r="X38" s="328"/>
      <c r="Y38" s="328"/>
      <c r="Z38" s="328"/>
      <c r="AA38" s="328"/>
      <c r="AB38" s="328"/>
      <c r="AD38" s="332" t="s">
        <v>973</v>
      </c>
    </row>
    <row r="39" spans="3:30" x14ac:dyDescent="0.25">
      <c r="J39" s="89"/>
      <c r="K39" s="89"/>
      <c r="L39" s="89"/>
      <c r="M39" s="89"/>
      <c r="N39" s="89"/>
      <c r="O39" s="89"/>
      <c r="P39" s="89"/>
      <c r="Q39" s="89"/>
      <c r="R39" s="89"/>
      <c r="S39" s="89"/>
      <c r="T39" s="89"/>
      <c r="U39" s="89"/>
      <c r="V39" s="89"/>
      <c r="W39" s="89"/>
      <c r="X39" s="89"/>
      <c r="Y39" s="89"/>
      <c r="Z39" s="89"/>
      <c r="AA39" s="89"/>
      <c r="AB39" s="89"/>
    </row>
    <row r="40" spans="3:30" x14ac:dyDescent="0.25">
      <c r="E40" s="32" t="s">
        <v>961</v>
      </c>
      <c r="J40" s="89"/>
      <c r="K40" s="89"/>
      <c r="L40" s="89"/>
      <c r="M40" s="89"/>
      <c r="N40" s="89"/>
      <c r="O40" s="89"/>
      <c r="P40" s="89"/>
      <c r="Q40" s="89"/>
      <c r="R40" s="89"/>
      <c r="S40" s="89"/>
      <c r="T40" s="89"/>
      <c r="U40" s="89"/>
      <c r="V40" s="89"/>
      <c r="W40" s="89"/>
      <c r="X40" s="89"/>
      <c r="Y40" s="89"/>
      <c r="Z40" s="89"/>
      <c r="AA40" s="89"/>
      <c r="AB40" s="89"/>
    </row>
    <row r="41" spans="3:30" x14ac:dyDescent="0.25">
      <c r="E41" s="29" t="s">
        <v>463</v>
      </c>
    </row>
    <row r="42" spans="3:30" x14ac:dyDescent="0.25">
      <c r="F42" s="64" t="s">
        <v>464</v>
      </c>
      <c r="G42" s="64" t="s">
        <v>166</v>
      </c>
      <c r="H42" s="23"/>
      <c r="I42" s="23"/>
      <c r="J42" s="154">
        <f t="shared" ref="J42:M44" si="2">SUMIF($J$38:$AB$38, J$38, $J31:$AB31) / SUMIF($J$38:$AB$38, J$38, $J$34:$AB$34)</f>
        <v>0.12233869338003847</v>
      </c>
      <c r="K42" s="154">
        <f t="shared" si="2"/>
        <v>0.12233869338003847</v>
      </c>
      <c r="L42" s="154">
        <f t="shared" si="2"/>
        <v>8.4588207828166811E-2</v>
      </c>
      <c r="M42" s="154">
        <f t="shared" si="2"/>
        <v>8.4588207828166811E-2</v>
      </c>
      <c r="N42" s="154">
        <f t="shared" ref="N42:S42" si="3">SUMIF($J$38:$AB$38, N$38, $J31:$AB31) / SUMIF($J$38:$AB$38, N$38, $J$34:$AB$34)</f>
        <v>0.10033858899694793</v>
      </c>
      <c r="O42" s="154">
        <f t="shared" si="3"/>
        <v>9.7161093705233958E-2</v>
      </c>
      <c r="P42" s="154">
        <f t="shared" si="3"/>
        <v>9.4256502248590612E-2</v>
      </c>
      <c r="Q42" s="154">
        <f t="shared" si="3"/>
        <v>0.10033858899694793</v>
      </c>
      <c r="R42" s="154">
        <f t="shared" si="3"/>
        <v>9.7161093705233958E-2</v>
      </c>
      <c r="S42" s="154">
        <f t="shared" si="3"/>
        <v>9.4256502248590612E-2</v>
      </c>
      <c r="T42" s="329"/>
      <c r="U42" s="329"/>
      <c r="V42" s="329"/>
      <c r="W42" s="329"/>
      <c r="X42" s="329"/>
      <c r="Y42" s="329"/>
      <c r="Z42" s="329"/>
      <c r="AA42" s="329"/>
      <c r="AB42" s="329"/>
    </row>
    <row r="43" spans="3:30" x14ac:dyDescent="0.25">
      <c r="F43" s="28" t="s">
        <v>465</v>
      </c>
      <c r="G43" s="28" t="s">
        <v>166</v>
      </c>
      <c r="J43" s="145">
        <f t="shared" si="2"/>
        <v>0.43781562184269179</v>
      </c>
      <c r="K43" s="145">
        <f t="shared" si="2"/>
        <v>0.43781562184269179</v>
      </c>
      <c r="L43" s="145">
        <f t="shared" si="2"/>
        <v>0.4593849637265971</v>
      </c>
      <c r="M43" s="145">
        <f t="shared" si="2"/>
        <v>0.4593849637265971</v>
      </c>
      <c r="N43" s="145">
        <f t="shared" ref="N43:S43" si="4">SUMIF($J$38:$AB$38, N$38, $J32:$AB32) / SUMIF($J$38:$AB$38, N$38, $J$34:$AB$34)</f>
        <v>0.48026128547762298</v>
      </c>
      <c r="O43" s="145">
        <f t="shared" si="4"/>
        <v>0.45392205725161022</v>
      </c>
      <c r="P43" s="145">
        <f t="shared" si="4"/>
        <v>0.43742145865416826</v>
      </c>
      <c r="Q43" s="145">
        <f t="shared" si="4"/>
        <v>0.48026128547762298</v>
      </c>
      <c r="R43" s="145">
        <f t="shared" si="4"/>
        <v>0.45392205725161022</v>
      </c>
      <c r="S43" s="145">
        <f t="shared" si="4"/>
        <v>0.43742145865416826</v>
      </c>
      <c r="T43" s="70"/>
      <c r="U43" s="70"/>
      <c r="V43" s="70"/>
      <c r="W43" s="70"/>
      <c r="X43" s="70"/>
      <c r="Y43" s="70"/>
      <c r="Z43" s="70"/>
      <c r="AA43" s="70"/>
      <c r="AB43" s="70"/>
    </row>
    <row r="44" spans="3:30" x14ac:dyDescent="0.25">
      <c r="F44" s="67" t="s">
        <v>256</v>
      </c>
      <c r="G44" s="67" t="s">
        <v>166</v>
      </c>
      <c r="H44" s="37"/>
      <c r="I44" s="37"/>
      <c r="J44" s="155">
        <f t="shared" si="2"/>
        <v>0.43984568477726976</v>
      </c>
      <c r="K44" s="155">
        <f t="shared" si="2"/>
        <v>0.43984568477726976</v>
      </c>
      <c r="L44" s="155">
        <f t="shared" si="2"/>
        <v>0.45602682844523618</v>
      </c>
      <c r="M44" s="155">
        <f t="shared" si="2"/>
        <v>0.45602682844523618</v>
      </c>
      <c r="N44" s="155">
        <f t="shared" ref="N44:S44" si="5">SUMIF($J$38:$AB$38, N$38, $J33:$AB33) / SUMIF($J$38:$AB$38, N$38, $J$34:$AB$34)</f>
        <v>0.4194001255254291</v>
      </c>
      <c r="O44" s="155">
        <f t="shared" si="5"/>
        <v>0.44891684904315576</v>
      </c>
      <c r="P44" s="155">
        <f t="shared" si="5"/>
        <v>0.46832203909724107</v>
      </c>
      <c r="Q44" s="155">
        <f t="shared" si="5"/>
        <v>0.4194001255254291</v>
      </c>
      <c r="R44" s="155">
        <f t="shared" si="5"/>
        <v>0.44891684904315576</v>
      </c>
      <c r="S44" s="155">
        <f t="shared" si="5"/>
        <v>0.46832203909724107</v>
      </c>
      <c r="T44" s="71"/>
      <c r="U44" s="71"/>
      <c r="V44" s="71"/>
      <c r="W44" s="71"/>
      <c r="X44" s="71"/>
      <c r="Y44" s="71"/>
      <c r="Z44" s="71"/>
      <c r="AA44" s="71"/>
      <c r="AB44" s="71"/>
    </row>
    <row r="45" spans="3:30" x14ac:dyDescent="0.25">
      <c r="J45" s="89"/>
      <c r="K45" s="89"/>
      <c r="L45" s="89"/>
      <c r="M45" s="89"/>
      <c r="N45" s="89"/>
      <c r="O45" s="89"/>
      <c r="P45" s="89"/>
      <c r="Q45" s="89"/>
      <c r="R45" s="89"/>
      <c r="S45" s="89"/>
      <c r="T45" s="89"/>
      <c r="U45" s="89"/>
      <c r="V45" s="89"/>
      <c r="W45" s="89"/>
      <c r="X45" s="89"/>
      <c r="Y45" s="89"/>
      <c r="Z45" s="89"/>
      <c r="AA45" s="89"/>
      <c r="AB45" s="89"/>
    </row>
    <row r="46" spans="3:30" x14ac:dyDescent="0.25">
      <c r="E46" s="32" t="s">
        <v>962</v>
      </c>
      <c r="F46" s="28"/>
      <c r="G46" s="28"/>
    </row>
    <row r="47" spans="3:30" x14ac:dyDescent="0.25">
      <c r="E47" s="29" t="s">
        <v>463</v>
      </c>
    </row>
    <row r="48" spans="3:30" x14ac:dyDescent="0.25">
      <c r="F48" s="64" t="s">
        <v>464</v>
      </c>
      <c r="G48" s="64" t="s">
        <v>166</v>
      </c>
      <c r="H48" s="23"/>
      <c r="I48" s="23"/>
      <c r="J48" s="154">
        <f>IF(ISNUMBER(J$38), J42, IF(J$34 = 0, 0, J31 / J$34))</f>
        <v>0.12233869338003847</v>
      </c>
      <c r="K48" s="154">
        <f t="shared" ref="K48:AB48" si="6">IF(ISNUMBER(K$38), K42, IF(K$34 = 0, 0, K31 / K$34))</f>
        <v>0.12233869338003847</v>
      </c>
      <c r="L48" s="154">
        <f t="shared" si="6"/>
        <v>8.4588207828166811E-2</v>
      </c>
      <c r="M48" s="154">
        <f t="shared" si="6"/>
        <v>8.4588207828166811E-2</v>
      </c>
      <c r="N48" s="154">
        <f t="shared" si="6"/>
        <v>0.10033858899694793</v>
      </c>
      <c r="O48" s="154">
        <f t="shared" si="6"/>
        <v>9.7161093705233958E-2</v>
      </c>
      <c r="P48" s="154">
        <f t="shared" si="6"/>
        <v>9.4256502248590612E-2</v>
      </c>
      <c r="Q48" s="154">
        <f t="shared" ref="Q48:S48" si="7">IF(ISNUMBER(Q$38), Q42, IF(Q$34 = 0, 0, Q31 / Q$34))</f>
        <v>0.10033858899694793</v>
      </c>
      <c r="R48" s="154">
        <f t="shared" si="7"/>
        <v>9.7161093705233958E-2</v>
      </c>
      <c r="S48" s="154">
        <f t="shared" si="7"/>
        <v>9.4256502248590612E-2</v>
      </c>
      <c r="T48" s="154">
        <f t="shared" si="6"/>
        <v>5.4138599225980515E-2</v>
      </c>
      <c r="U48" s="154">
        <f t="shared" si="6"/>
        <v>9.528922557011725E-2</v>
      </c>
      <c r="V48" s="154">
        <f t="shared" si="6"/>
        <v>9.360576587271334E-2</v>
      </c>
      <c r="W48" s="154">
        <f t="shared" si="6"/>
        <v>9.4857059265087501E-2</v>
      </c>
      <c r="X48" s="154">
        <f t="shared" si="6"/>
        <v>0</v>
      </c>
      <c r="Y48" s="154">
        <f t="shared" si="6"/>
        <v>9.3345162284215827E-2</v>
      </c>
      <c r="Z48" s="154">
        <f t="shared" si="6"/>
        <v>0</v>
      </c>
      <c r="AA48" s="154">
        <f t="shared" si="6"/>
        <v>0.10859905301937658</v>
      </c>
      <c r="AB48" s="154">
        <f t="shared" si="6"/>
        <v>0</v>
      </c>
    </row>
    <row r="49" spans="2:30" x14ac:dyDescent="0.25">
      <c r="F49" s="28" t="s">
        <v>465</v>
      </c>
      <c r="G49" s="28" t="s">
        <v>166</v>
      </c>
      <c r="J49" s="145">
        <f t="shared" ref="J49:AB49" si="8">IF(ISNUMBER(J$38), J43, IF(J$34 = 0, 0, J32 / J$34))</f>
        <v>0.43781562184269179</v>
      </c>
      <c r="K49" s="145">
        <f t="shared" si="8"/>
        <v>0.43781562184269179</v>
      </c>
      <c r="L49" s="145">
        <f t="shared" si="8"/>
        <v>0.4593849637265971</v>
      </c>
      <c r="M49" s="145">
        <f t="shared" si="8"/>
        <v>0.4593849637265971</v>
      </c>
      <c r="N49" s="145">
        <f t="shared" si="8"/>
        <v>0.48026128547762298</v>
      </c>
      <c r="O49" s="145">
        <f t="shared" si="8"/>
        <v>0.45392205725161022</v>
      </c>
      <c r="P49" s="145">
        <f t="shared" si="8"/>
        <v>0.43742145865416826</v>
      </c>
      <c r="Q49" s="145">
        <f t="shared" ref="Q49:S49" si="9">IF(ISNUMBER(Q$38), Q43, IF(Q$34 = 0, 0, Q32 / Q$34))</f>
        <v>0.48026128547762298</v>
      </c>
      <c r="R49" s="145">
        <f t="shared" si="9"/>
        <v>0.45392205725161022</v>
      </c>
      <c r="S49" s="145">
        <f t="shared" si="9"/>
        <v>0.43742145865416826</v>
      </c>
      <c r="T49" s="145">
        <f t="shared" si="8"/>
        <v>0.20643047670971559</v>
      </c>
      <c r="U49" s="145">
        <f t="shared" si="8"/>
        <v>0.42773407175983214</v>
      </c>
      <c r="V49" s="145">
        <f t="shared" si="8"/>
        <v>0.38572684891698106</v>
      </c>
      <c r="W49" s="145">
        <f t="shared" si="8"/>
        <v>0.42583940880390608</v>
      </c>
      <c r="X49" s="145">
        <f t="shared" si="8"/>
        <v>0</v>
      </c>
      <c r="Y49" s="145">
        <f t="shared" si="8"/>
        <v>0.38557450449184738</v>
      </c>
      <c r="Z49" s="145">
        <f t="shared" si="8"/>
        <v>0</v>
      </c>
      <c r="AA49" s="145">
        <f t="shared" si="8"/>
        <v>0.41653507216325569</v>
      </c>
      <c r="AB49" s="145">
        <f t="shared" si="8"/>
        <v>0</v>
      </c>
    </row>
    <row r="50" spans="2:30" x14ac:dyDescent="0.25">
      <c r="F50" s="67" t="s">
        <v>256</v>
      </c>
      <c r="G50" s="67" t="s">
        <v>166</v>
      </c>
      <c r="H50" s="37"/>
      <c r="I50" s="37"/>
      <c r="J50" s="155">
        <f t="shared" ref="J50:AB50" si="10">IF(ISNUMBER(J$38), J44, IF(J$34 = 0, 0, J33 / J$34))</f>
        <v>0.43984568477726976</v>
      </c>
      <c r="K50" s="155">
        <f t="shared" si="10"/>
        <v>0.43984568477726976</v>
      </c>
      <c r="L50" s="155">
        <f t="shared" si="10"/>
        <v>0.45602682844523618</v>
      </c>
      <c r="M50" s="155">
        <f t="shared" si="10"/>
        <v>0.45602682844523618</v>
      </c>
      <c r="N50" s="155">
        <f t="shared" si="10"/>
        <v>0.4194001255254291</v>
      </c>
      <c r="O50" s="155">
        <f t="shared" si="10"/>
        <v>0.44891684904315576</v>
      </c>
      <c r="P50" s="155">
        <f t="shared" si="10"/>
        <v>0.46832203909724107</v>
      </c>
      <c r="Q50" s="155">
        <f t="shared" ref="Q50:S50" si="11">IF(ISNUMBER(Q$38), Q44, IF(Q$34 = 0, 0, Q33 / Q$34))</f>
        <v>0.4194001255254291</v>
      </c>
      <c r="R50" s="155">
        <f t="shared" si="11"/>
        <v>0.44891684904315576</v>
      </c>
      <c r="S50" s="155">
        <f t="shared" si="11"/>
        <v>0.46832203909724107</v>
      </c>
      <c r="T50" s="155">
        <f t="shared" si="10"/>
        <v>0.73943092406430388</v>
      </c>
      <c r="U50" s="155">
        <f t="shared" si="10"/>
        <v>0.47697670267005077</v>
      </c>
      <c r="V50" s="155">
        <f t="shared" si="10"/>
        <v>0.52066738521030564</v>
      </c>
      <c r="W50" s="155">
        <f t="shared" si="10"/>
        <v>0.47930353193100639</v>
      </c>
      <c r="X50" s="155">
        <f t="shared" si="10"/>
        <v>0</v>
      </c>
      <c r="Y50" s="155">
        <f t="shared" si="10"/>
        <v>0.52108033322393688</v>
      </c>
      <c r="Z50" s="155">
        <f t="shared" si="10"/>
        <v>0</v>
      </c>
      <c r="AA50" s="155">
        <f t="shared" si="10"/>
        <v>0.47486587481736764</v>
      </c>
      <c r="AB50" s="155">
        <f t="shared" si="10"/>
        <v>0</v>
      </c>
    </row>
    <row r="52" spans="2:30" x14ac:dyDescent="0.25">
      <c r="C52" s="31" t="str">
        <f ca="1">INDEX('Version control'!$H$34:$H$57,MATCH($A$1,'Version control'!$F$34:$F$57,0),1)&amp;"-D: Ratio of coincidence to load factor assuming units evenly spread within time bands, and peak falls in Red period"</f>
        <v>Section 105-D: Ratio of coincidence to load factor assuming units evenly spread within time bands, and peak falls in Red period</v>
      </c>
      <c r="D52" s="31"/>
      <c r="E52" s="31"/>
      <c r="F52" s="31"/>
      <c r="G52" s="31"/>
      <c r="H52" s="31"/>
      <c r="I52" s="31"/>
      <c r="J52" s="31"/>
      <c r="K52" s="31"/>
      <c r="L52" s="31"/>
      <c r="M52" s="31"/>
      <c r="N52" s="31"/>
      <c r="O52" s="31"/>
      <c r="P52" s="31"/>
      <c r="Q52" s="31"/>
      <c r="R52" s="31"/>
      <c r="S52" s="31"/>
      <c r="T52" s="31"/>
      <c r="U52" s="31"/>
      <c r="V52" s="31"/>
      <c r="W52" s="31"/>
      <c r="X52" s="31"/>
      <c r="Y52" s="31"/>
      <c r="Z52" s="31"/>
      <c r="AA52" s="31"/>
      <c r="AB52" s="31"/>
      <c r="AC52" s="31"/>
      <c r="AD52" s="31"/>
    </row>
    <row r="54" spans="2:30" x14ac:dyDescent="0.25">
      <c r="E54" t="s">
        <v>467</v>
      </c>
      <c r="G54" t="s">
        <v>282</v>
      </c>
      <c r="H54" s="89"/>
      <c r="I54" s="89"/>
      <c r="J54" s="89">
        <f t="shared" ref="J54:AB54" si="12">J48 * hours_in_year / J24</f>
        <v>1.3686934278533041</v>
      </c>
      <c r="K54" s="89">
        <f t="shared" si="12"/>
        <v>1.3686934278533041</v>
      </c>
      <c r="L54" s="89">
        <f t="shared" si="12"/>
        <v>0.94635083087451</v>
      </c>
      <c r="M54" s="89">
        <f t="shared" si="12"/>
        <v>0.94635083087451</v>
      </c>
      <c r="N54" s="89">
        <f t="shared" si="12"/>
        <v>1.122561991843249</v>
      </c>
      <c r="O54" s="89">
        <f t="shared" si="12"/>
        <v>1.0870130023727325</v>
      </c>
      <c r="P54" s="89">
        <f t="shared" si="12"/>
        <v>1.0545171899076038</v>
      </c>
      <c r="Q54" s="89">
        <f t="shared" ref="Q54:S54" si="13">Q48 * hours_in_year / Q24</f>
        <v>1.122561991843249</v>
      </c>
      <c r="R54" s="89">
        <f t="shared" si="13"/>
        <v>1.0870130023727325</v>
      </c>
      <c r="S54" s="89">
        <f t="shared" si="13"/>
        <v>1.0545171899076038</v>
      </c>
      <c r="T54" s="89">
        <f t="shared" si="12"/>
        <v>1.8381942993007336</v>
      </c>
      <c r="U54" s="89">
        <f t="shared" si="12"/>
        <v>1.066071029366829</v>
      </c>
      <c r="V54" s="89">
        <f t="shared" si="12"/>
        <v>1.0472369208748007</v>
      </c>
      <c r="W54" s="89">
        <f t="shared" si="12"/>
        <v>1.0612360653412087</v>
      </c>
      <c r="X54" s="89">
        <f t="shared" si="12"/>
        <v>0</v>
      </c>
      <c r="Y54" s="89">
        <f t="shared" si="12"/>
        <v>1.0443213558234108</v>
      </c>
      <c r="Z54" s="89">
        <f t="shared" si="12"/>
        <v>0</v>
      </c>
      <c r="AA54" s="89">
        <f t="shared" si="12"/>
        <v>1.2149779111746346</v>
      </c>
      <c r="AB54" s="89">
        <f t="shared" si="12"/>
        <v>0</v>
      </c>
    </row>
    <row r="55" spans="2:30" x14ac:dyDescent="0.25">
      <c r="J55" s="63"/>
      <c r="K55" s="63"/>
      <c r="L55" s="63"/>
      <c r="M55" s="63"/>
      <c r="N55" s="63"/>
      <c r="O55" s="63"/>
      <c r="P55" s="63"/>
      <c r="Q55" s="63"/>
      <c r="R55" s="63"/>
      <c r="S55" s="63"/>
      <c r="T55" s="63"/>
      <c r="U55" s="63"/>
      <c r="V55" s="63"/>
      <c r="W55" s="63"/>
      <c r="X55" s="63"/>
      <c r="Y55" s="63"/>
      <c r="Z55" s="63"/>
      <c r="AA55" s="63"/>
      <c r="AB55" s="63"/>
    </row>
    <row r="56" spans="2:30" x14ac:dyDescent="0.25">
      <c r="B56" s="30" t="s">
        <v>468</v>
      </c>
      <c r="C56" s="105"/>
      <c r="D56" s="104"/>
      <c r="E56" s="104"/>
      <c r="F56" s="105"/>
      <c r="G56" s="105"/>
      <c r="H56" s="105"/>
      <c r="I56" s="105"/>
      <c r="J56" s="105"/>
      <c r="K56" s="105"/>
      <c r="L56" s="105"/>
      <c r="M56" s="105"/>
      <c r="N56" s="105"/>
      <c r="O56" s="105"/>
      <c r="P56" s="105"/>
      <c r="Q56" s="105"/>
      <c r="R56" s="105"/>
      <c r="S56" s="105"/>
      <c r="T56" s="105"/>
      <c r="U56" s="105"/>
      <c r="V56" s="105"/>
      <c r="W56" s="105"/>
      <c r="X56" s="105"/>
      <c r="Y56" s="105"/>
      <c r="Z56" s="105"/>
      <c r="AA56" s="105"/>
      <c r="AB56" s="105"/>
      <c r="AC56" s="105"/>
      <c r="AD56" s="105"/>
    </row>
    <row r="57" spans="2:30" x14ac:dyDescent="0.25">
      <c r="F57" s="28"/>
      <c r="G57" s="28"/>
    </row>
    <row r="58" spans="2:30" x14ac:dyDescent="0.25">
      <c r="C58" s="29" t="s">
        <v>469</v>
      </c>
      <c r="F58" s="28"/>
      <c r="G58" s="28"/>
    </row>
    <row r="59" spans="2:30" x14ac:dyDescent="0.25">
      <c r="F59" s="28"/>
      <c r="G59" s="28"/>
    </row>
    <row r="60" spans="2:30" x14ac:dyDescent="0.25">
      <c r="C60" s="31" t="str">
        <f ca="1">INDEX('Version control'!$H$34:$H$57,MATCH($A$1,'Version control'!$F$34:$F$57,0),1)&amp;"-E: Load characteristics for all customers"</f>
        <v>Section 105-E: Load characteristics for all customers</v>
      </c>
      <c r="D60" s="31"/>
      <c r="E60" s="31"/>
      <c r="F60" s="31"/>
      <c r="G60" s="31"/>
      <c r="H60" s="31"/>
      <c r="I60" s="31"/>
      <c r="J60" s="31"/>
      <c r="K60" s="31"/>
      <c r="L60" s="31"/>
      <c r="M60" s="31"/>
      <c r="N60" s="31"/>
      <c r="O60" s="31"/>
      <c r="P60" s="31"/>
      <c r="Q60" s="31"/>
      <c r="R60" s="31"/>
      <c r="S60" s="31"/>
      <c r="T60" s="31"/>
      <c r="U60" s="31"/>
      <c r="V60" s="31"/>
      <c r="W60" s="31"/>
      <c r="X60" s="31"/>
      <c r="Y60" s="31"/>
      <c r="Z60" s="31"/>
      <c r="AA60" s="31"/>
      <c r="AB60" s="31"/>
      <c r="AC60" s="31"/>
      <c r="AD60" s="31"/>
    </row>
    <row r="61" spans="2:30" x14ac:dyDescent="0.25">
      <c r="D61" s="32"/>
      <c r="J61" s="25"/>
      <c r="K61" s="25"/>
      <c r="L61" s="25"/>
      <c r="M61" s="25"/>
      <c r="N61" s="25"/>
      <c r="O61" s="25"/>
      <c r="P61" s="25"/>
      <c r="Q61" s="25"/>
      <c r="R61" s="25"/>
      <c r="S61" s="25"/>
      <c r="T61" s="25"/>
      <c r="U61" s="25"/>
      <c r="V61" s="25"/>
      <c r="W61" s="25"/>
      <c r="X61" s="25"/>
      <c r="Y61" s="25"/>
      <c r="Z61" s="25"/>
      <c r="AA61" s="25"/>
      <c r="AB61" s="25"/>
    </row>
    <row r="62" spans="2:30" x14ac:dyDescent="0.25">
      <c r="E62" s="28" t="s">
        <v>240</v>
      </c>
      <c r="G62" s="28" t="s">
        <v>166</v>
      </c>
      <c r="J62" s="25">
        <f>'Inputs by customer type'!J15</f>
        <v>0.44866666666666671</v>
      </c>
      <c r="K62" s="25">
        <f>'Inputs by customer type'!K15</f>
        <v>9.9666666666666667E-2</v>
      </c>
      <c r="L62" s="25">
        <f>'Inputs by customer type'!L15</f>
        <v>0.41666666666666669</v>
      </c>
      <c r="M62" s="25">
        <f>'Inputs by customer type'!M15</f>
        <v>0.32</v>
      </c>
      <c r="N62" s="25">
        <f>'Inputs by customer type'!N15</f>
        <v>0.55600000000000005</v>
      </c>
      <c r="O62" s="25">
        <f>'Inputs by customer type'!O15</f>
        <v>0.67266666666666675</v>
      </c>
      <c r="P62" s="25">
        <f>'Inputs by customer type'!P15</f>
        <v>0.73533333333333328</v>
      </c>
      <c r="Q62" s="25">
        <f>'Inputs by customer type'!Q15</f>
        <v>0.55600000000000005</v>
      </c>
      <c r="R62" s="25">
        <f>'Inputs by customer type'!R15</f>
        <v>0.67266666666666675</v>
      </c>
      <c r="S62" s="25">
        <f>'Inputs by customer type'!S15</f>
        <v>0.73533333333333328</v>
      </c>
      <c r="T62" s="25">
        <f>'Inputs by customer type'!T15</f>
        <v>0.45833333333333331</v>
      </c>
      <c r="U62" s="25">
        <f>'Inputs by customer type'!U15</f>
        <v>0</v>
      </c>
      <c r="V62" s="25">
        <f>'Inputs by customer type'!V15</f>
        <v>0</v>
      </c>
      <c r="W62" s="25">
        <f>'Inputs by customer type'!W15</f>
        <v>0</v>
      </c>
      <c r="X62" s="25">
        <f>'Inputs by customer type'!X15</f>
        <v>0</v>
      </c>
      <c r="Y62" s="25">
        <f>'Inputs by customer type'!Y15</f>
        <v>0</v>
      </c>
      <c r="Z62" s="25">
        <f>'Inputs by customer type'!Z15</f>
        <v>0</v>
      </c>
      <c r="AA62" s="25">
        <f>'Inputs by customer type'!AA15</f>
        <v>0</v>
      </c>
      <c r="AB62" s="25">
        <f>'Inputs by customer type'!AB15</f>
        <v>0</v>
      </c>
    </row>
    <row r="63" spans="2:30" x14ac:dyDescent="0.25">
      <c r="E63" s="28" t="s">
        <v>242</v>
      </c>
      <c r="G63" s="28" t="s">
        <v>166</v>
      </c>
      <c r="J63" s="25">
        <f>'Inputs by customer type'!J16</f>
        <v>0.89866666666666661</v>
      </c>
      <c r="K63" s="25">
        <f>'Inputs by customer type'!K16</f>
        <v>0</v>
      </c>
      <c r="L63" s="25">
        <f>'Inputs by customer type'!L16</f>
        <v>0.66433333333333333</v>
      </c>
      <c r="M63" s="25">
        <f>'Inputs by customer type'!M16</f>
        <v>0</v>
      </c>
      <c r="N63" s="25">
        <f>'Inputs by customer type'!N16</f>
        <v>0.78366666666666662</v>
      </c>
      <c r="O63" s="25">
        <f>'Inputs by customer type'!O16</f>
        <v>0.78533333333333333</v>
      </c>
      <c r="P63" s="25">
        <f>'Inputs by customer type'!P16</f>
        <v>0.84533333333333338</v>
      </c>
      <c r="Q63" s="25">
        <f>'Inputs by customer type'!Q16</f>
        <v>0.78366666666666662</v>
      </c>
      <c r="R63" s="25">
        <f>'Inputs by customer type'!R16</f>
        <v>0.78533333333333333</v>
      </c>
      <c r="S63" s="25">
        <f>'Inputs by customer type'!S16</f>
        <v>0.84533333333333338</v>
      </c>
      <c r="T63" s="25">
        <f>'Inputs by customer type'!T16</f>
        <v>0.92600000000000016</v>
      </c>
      <c r="U63" s="25">
        <f>'Inputs by customer type'!U16</f>
        <v>0</v>
      </c>
      <c r="V63" s="25">
        <f>'Inputs by customer type'!V16</f>
        <v>0</v>
      </c>
      <c r="W63" s="25">
        <f>'Inputs by customer type'!W16</f>
        <v>0</v>
      </c>
      <c r="X63" s="25">
        <f>'Inputs by customer type'!X16</f>
        <v>0</v>
      </c>
      <c r="Y63" s="25">
        <f>'Inputs by customer type'!Y16</f>
        <v>0</v>
      </c>
      <c r="Z63" s="25">
        <f>'Inputs by customer type'!Z16</f>
        <v>0</v>
      </c>
      <c r="AA63" s="25">
        <f>'Inputs by customer type'!AA16</f>
        <v>0</v>
      </c>
      <c r="AB63" s="25">
        <f>'Inputs by customer type'!AB16</f>
        <v>0</v>
      </c>
    </row>
    <row r="64" spans="2:30" x14ac:dyDescent="0.25">
      <c r="F64" s="28"/>
      <c r="G64" s="28"/>
      <c r="J64" s="25"/>
      <c r="K64" s="25"/>
      <c r="L64" s="25"/>
      <c r="M64" s="25"/>
      <c r="N64" s="25"/>
      <c r="O64" s="25"/>
      <c r="P64" s="25"/>
      <c r="Q64" s="25"/>
      <c r="R64" s="25"/>
      <c r="S64" s="25"/>
      <c r="T64" s="25"/>
      <c r="U64" s="25"/>
      <c r="V64" s="25"/>
      <c r="W64" s="25"/>
      <c r="X64" s="25"/>
      <c r="Y64" s="25"/>
      <c r="Z64" s="25"/>
      <c r="AA64" s="25"/>
      <c r="AB64" s="25"/>
    </row>
    <row r="65" spans="3:30" x14ac:dyDescent="0.25">
      <c r="C65" s="31" t="str">
        <f ca="1">INDEX('Version control'!$H$34:$H$57,MATCH($A$1,'Version control'!$F$34:$F$57,0),1)&amp;"-F: Aggregated load characteristics for grouped customers"</f>
        <v>Section 105-F: Aggregated load characteristics for grouped customers</v>
      </c>
      <c r="D65" s="31"/>
      <c r="E65" s="31"/>
      <c r="F65" s="31"/>
      <c r="G65" s="31"/>
      <c r="H65" s="31"/>
      <c r="I65" s="31"/>
      <c r="J65" s="31"/>
      <c r="K65" s="31"/>
      <c r="L65" s="31"/>
      <c r="M65" s="31"/>
      <c r="N65" s="31"/>
      <c r="O65" s="31"/>
      <c r="P65" s="31"/>
      <c r="Q65" s="31"/>
      <c r="R65" s="31"/>
      <c r="S65" s="31"/>
      <c r="T65" s="31"/>
      <c r="U65" s="31"/>
      <c r="V65" s="31"/>
      <c r="W65" s="31"/>
      <c r="X65" s="31"/>
      <c r="Y65" s="31"/>
      <c r="Z65" s="31"/>
      <c r="AA65" s="31"/>
      <c r="AB65" s="31"/>
      <c r="AC65" s="31"/>
      <c r="AD65" s="31"/>
    </row>
    <row r="67" spans="3:30" x14ac:dyDescent="0.25">
      <c r="D67" s="32" t="s">
        <v>963</v>
      </c>
      <c r="E67" s="28"/>
      <c r="F67" s="28"/>
      <c r="G67" s="28"/>
    </row>
    <row r="68" spans="3:30" x14ac:dyDescent="0.25">
      <c r="D68" s="32"/>
      <c r="E68" s="28"/>
      <c r="F68" s="28"/>
      <c r="G68" s="28"/>
    </row>
    <row r="69" spans="3:30" x14ac:dyDescent="0.25">
      <c r="D69" s="32"/>
      <c r="E69" s="28" t="s">
        <v>964</v>
      </c>
      <c r="F69" s="28"/>
      <c r="G69" s="28" t="s">
        <v>171</v>
      </c>
      <c r="J69" s="89">
        <f t="shared" ref="J69:S69" si="14">J34 / hours_in_year</f>
        <v>665.022753017127</v>
      </c>
      <c r="K69" s="89">
        <f t="shared" si="14"/>
        <v>30.922121046825779</v>
      </c>
      <c r="L69" s="89">
        <f t="shared" si="14"/>
        <v>251.29135913449875</v>
      </c>
      <c r="M69" s="89">
        <f t="shared" si="14"/>
        <v>9.366759654766895</v>
      </c>
      <c r="N69" s="89">
        <f t="shared" si="14"/>
        <v>320.91699892263341</v>
      </c>
      <c r="O69" s="89">
        <f t="shared" si="14"/>
        <v>27.035132431912658</v>
      </c>
      <c r="P69" s="89">
        <f t="shared" si="14"/>
        <v>395.20054973330548</v>
      </c>
      <c r="Q69" s="89">
        <f t="shared" si="14"/>
        <v>0</v>
      </c>
      <c r="R69" s="89">
        <f t="shared" si="14"/>
        <v>0</v>
      </c>
      <c r="S69" s="89">
        <f t="shared" si="14"/>
        <v>0</v>
      </c>
      <c r="T69" s="328"/>
      <c r="U69" s="328"/>
      <c r="V69" s="328"/>
      <c r="W69" s="328"/>
      <c r="X69" s="328"/>
      <c r="Y69" s="328"/>
      <c r="Z69" s="328"/>
      <c r="AA69" s="328"/>
      <c r="AB69" s="328"/>
    </row>
    <row r="70" spans="3:30" x14ac:dyDescent="0.25">
      <c r="D70" s="32"/>
      <c r="E70" s="28"/>
      <c r="F70" s="28"/>
      <c r="G70" s="28"/>
    </row>
    <row r="71" spans="3:30" x14ac:dyDescent="0.25">
      <c r="D71" s="32"/>
      <c r="E71" s="28" t="s">
        <v>470</v>
      </c>
      <c r="F71" s="28"/>
      <c r="G71" s="28" t="s">
        <v>171</v>
      </c>
      <c r="J71" s="89">
        <f t="shared" ref="J71:S71" si="15">IF(J62 = 0, 0, J34 / (J62 * hours_in_year))</f>
        <v>1482.2201033071178</v>
      </c>
      <c r="K71" s="89">
        <f t="shared" si="15"/>
        <v>310.25539511865327</v>
      </c>
      <c r="L71" s="89">
        <f t="shared" si="15"/>
        <v>603.09926192279704</v>
      </c>
      <c r="M71" s="89">
        <f t="shared" si="15"/>
        <v>29.271123921146547</v>
      </c>
      <c r="N71" s="89">
        <f t="shared" si="15"/>
        <v>577.18884698315355</v>
      </c>
      <c r="O71" s="89">
        <f t="shared" si="15"/>
        <v>40.190979829404341</v>
      </c>
      <c r="P71" s="89">
        <f t="shared" si="15"/>
        <v>537.444083952818</v>
      </c>
      <c r="Q71" s="89">
        <f t="shared" si="15"/>
        <v>0</v>
      </c>
      <c r="R71" s="89">
        <f t="shared" si="15"/>
        <v>0</v>
      </c>
      <c r="S71" s="89">
        <f t="shared" si="15"/>
        <v>0</v>
      </c>
      <c r="T71" s="328"/>
      <c r="U71" s="328"/>
      <c r="V71" s="328"/>
      <c r="W71" s="328"/>
      <c r="X71" s="328"/>
      <c r="Y71" s="328"/>
      <c r="Z71" s="328"/>
      <c r="AA71" s="328"/>
      <c r="AB71" s="328"/>
    </row>
    <row r="72" spans="3:30" x14ac:dyDescent="0.25">
      <c r="D72" s="32"/>
      <c r="E72" s="28"/>
      <c r="F72" s="28"/>
      <c r="G72" s="28"/>
    </row>
    <row r="73" spans="3:30" x14ac:dyDescent="0.25">
      <c r="D73" s="32"/>
      <c r="E73" s="28" t="s">
        <v>965</v>
      </c>
      <c r="F73" s="28"/>
      <c r="G73" s="28" t="s">
        <v>171</v>
      </c>
      <c r="J73" s="89">
        <f>J71 * J63</f>
        <v>1332.0217995053299</v>
      </c>
      <c r="K73" s="89">
        <f t="shared" ref="K73:M73" si="16">K71 * K63</f>
        <v>0</v>
      </c>
      <c r="L73" s="89">
        <f t="shared" si="16"/>
        <v>400.65894300404483</v>
      </c>
      <c r="M73" s="89">
        <f t="shared" si="16"/>
        <v>0</v>
      </c>
      <c r="N73" s="89">
        <f t="shared" ref="N73:S73" si="17">N71 * N63</f>
        <v>452.32365975246466</v>
      </c>
      <c r="O73" s="89">
        <f t="shared" si="17"/>
        <v>31.563316159358877</v>
      </c>
      <c r="P73" s="89">
        <f t="shared" si="17"/>
        <v>454.31939896811554</v>
      </c>
      <c r="Q73" s="89">
        <f t="shared" si="17"/>
        <v>0</v>
      </c>
      <c r="R73" s="89">
        <f t="shared" si="17"/>
        <v>0</v>
      </c>
      <c r="S73" s="89">
        <f t="shared" si="17"/>
        <v>0</v>
      </c>
      <c r="T73" s="328"/>
      <c r="U73" s="328"/>
      <c r="V73" s="328"/>
      <c r="W73" s="328"/>
      <c r="X73" s="328"/>
      <c r="Y73" s="328"/>
      <c r="Z73" s="328"/>
      <c r="AA73" s="328"/>
      <c r="AB73" s="328"/>
    </row>
    <row r="74" spans="3:30" x14ac:dyDescent="0.25">
      <c r="D74" s="32"/>
      <c r="E74" s="28"/>
      <c r="F74" s="28"/>
      <c r="G74" s="28"/>
    </row>
    <row r="75" spans="3:30" x14ac:dyDescent="0.25">
      <c r="D75" s="32" t="s">
        <v>966</v>
      </c>
      <c r="E75" s="28"/>
      <c r="F75" s="28"/>
      <c r="G75" s="28"/>
    </row>
    <row r="76" spans="3:30" x14ac:dyDescent="0.25">
      <c r="D76" s="32"/>
      <c r="E76" s="28"/>
      <c r="F76" s="28"/>
      <c r="G76" s="28"/>
    </row>
    <row r="77" spans="3:30" x14ac:dyDescent="0.25">
      <c r="D77" s="32"/>
      <c r="E77" s="28" t="s">
        <v>240</v>
      </c>
      <c r="F77" s="28"/>
      <c r="G77" s="28" t="s">
        <v>166</v>
      </c>
      <c r="J77" s="145">
        <f>SUMIF($J$38:$AB$38, J$38, $J$69:$AB$69) / SUMIF($J$38:$AB$38, J$38, $J$71:$AB$71)</f>
        <v>0.38825907225798145</v>
      </c>
      <c r="K77" s="145">
        <f t="shared" ref="K77:S77" si="18">SUMIF($J$38:$AB$38, K$38, $J$69:$AB$69) / SUMIF($J$38:$AB$38, K$38, $J$71:$AB$71)</f>
        <v>0.38825907225798145</v>
      </c>
      <c r="L77" s="145">
        <f t="shared" si="18"/>
        <v>0.41219216557935218</v>
      </c>
      <c r="M77" s="145">
        <f t="shared" si="18"/>
        <v>0.41219216557935218</v>
      </c>
      <c r="N77" s="145">
        <f>SUMIF($J$38:$AB$38, N$38, $J$69:$AB$69) / SUMIF($J$38:$AB$38, N$38, $J$71:$AB$71)</f>
        <v>0.55600000000000005</v>
      </c>
      <c r="O77" s="145">
        <f t="shared" si="18"/>
        <v>0.67266666666666675</v>
      </c>
      <c r="P77" s="145">
        <f t="shared" si="18"/>
        <v>0.73533333333333328</v>
      </c>
      <c r="Q77" s="145">
        <f t="shared" si="18"/>
        <v>0.55600000000000005</v>
      </c>
      <c r="R77" s="145">
        <f t="shared" si="18"/>
        <v>0.67266666666666675</v>
      </c>
      <c r="S77" s="145">
        <f t="shared" si="18"/>
        <v>0.73533333333333328</v>
      </c>
      <c r="T77" s="328"/>
      <c r="U77" s="328"/>
      <c r="V77" s="328"/>
      <c r="W77" s="328"/>
      <c r="X77" s="328"/>
      <c r="Y77" s="328"/>
      <c r="Z77" s="328"/>
      <c r="AA77" s="328"/>
      <c r="AB77" s="328"/>
    </row>
    <row r="78" spans="3:30" x14ac:dyDescent="0.25">
      <c r="D78" s="32"/>
      <c r="E78" s="28"/>
      <c r="F78" s="28"/>
      <c r="G78" s="28"/>
    </row>
    <row r="79" spans="3:30" x14ac:dyDescent="0.25">
      <c r="D79" s="32"/>
      <c r="E79" s="28" t="s">
        <v>242</v>
      </c>
      <c r="F79" s="28"/>
      <c r="G79" s="28" t="s">
        <v>166</v>
      </c>
      <c r="J79" s="145">
        <f>SUMIF($J$38:$AB$38, J$38, $J$73:$AB$73) / SUMIF($J$38:$AB$38, J$38, $J$71:$AB$71)</f>
        <v>0.74311855346149425</v>
      </c>
      <c r="K79" s="145">
        <f t="shared" ref="K79:S79" si="19">SUMIF($J$38:$AB$38, K$38, $J$73:$AB$73) / SUMIF($J$38:$AB$38, K$38, $J$71:$AB$71)</f>
        <v>0.74311855346149425</v>
      </c>
      <c r="L79" s="145">
        <f t="shared" si="19"/>
        <v>0.63358271034361724</v>
      </c>
      <c r="M79" s="145">
        <f t="shared" si="19"/>
        <v>0.63358271034361724</v>
      </c>
      <c r="N79" s="145">
        <f t="shared" si="19"/>
        <v>0.78366666666666662</v>
      </c>
      <c r="O79" s="145">
        <f t="shared" si="19"/>
        <v>0.78533333333333333</v>
      </c>
      <c r="P79" s="145">
        <f t="shared" si="19"/>
        <v>0.84533333333333338</v>
      </c>
      <c r="Q79" s="145">
        <f t="shared" si="19"/>
        <v>0.78366666666666662</v>
      </c>
      <c r="R79" s="145">
        <f t="shared" si="19"/>
        <v>0.78533333333333333</v>
      </c>
      <c r="S79" s="145">
        <f t="shared" si="19"/>
        <v>0.84533333333333338</v>
      </c>
      <c r="T79" s="328"/>
      <c r="U79" s="328"/>
      <c r="V79" s="328"/>
      <c r="W79" s="328"/>
      <c r="X79" s="328"/>
      <c r="Y79" s="328"/>
      <c r="Z79" s="328"/>
      <c r="AA79" s="328"/>
      <c r="AB79" s="328"/>
    </row>
    <row r="80" spans="3:30" x14ac:dyDescent="0.25">
      <c r="D80" s="32"/>
      <c r="E80" s="28"/>
      <c r="F80" s="28"/>
      <c r="G80" s="28"/>
    </row>
    <row r="81" spans="2:30" x14ac:dyDescent="0.25">
      <c r="D81" s="32" t="s">
        <v>967</v>
      </c>
      <c r="E81" s="28"/>
      <c r="F81" s="28"/>
      <c r="G81" s="28"/>
    </row>
    <row r="82" spans="2:30" x14ac:dyDescent="0.25">
      <c r="D82" s="28"/>
      <c r="E82" s="28"/>
      <c r="F82" s="28"/>
      <c r="G82" s="28"/>
    </row>
    <row r="83" spans="2:30" x14ac:dyDescent="0.25">
      <c r="D83" s="28"/>
      <c r="E83" s="28" t="s">
        <v>240</v>
      </c>
      <c r="F83" s="28"/>
      <c r="G83" s="28" t="s">
        <v>166</v>
      </c>
      <c r="J83" s="145">
        <f>IF(J$38 = 0, J62, J77)</f>
        <v>0.38825907225798145</v>
      </c>
      <c r="K83" s="145">
        <f t="shared" ref="K83:AB83" si="20">IF(K$38 = 0, K62, K77)</f>
        <v>0.38825907225798145</v>
      </c>
      <c r="L83" s="145">
        <f t="shared" si="20"/>
        <v>0.41219216557935218</v>
      </c>
      <c r="M83" s="145">
        <f>IF(M$38 = 0, M62, M77)</f>
        <v>0.41219216557935218</v>
      </c>
      <c r="N83" s="145">
        <f t="shared" si="20"/>
        <v>0.55600000000000005</v>
      </c>
      <c r="O83" s="145">
        <f t="shared" si="20"/>
        <v>0.67266666666666675</v>
      </c>
      <c r="P83" s="145">
        <f t="shared" si="20"/>
        <v>0.73533333333333328</v>
      </c>
      <c r="Q83" s="145">
        <f t="shared" ref="Q83:S83" si="21">IF(Q$38 = 0, Q62, Q77)</f>
        <v>0.55600000000000005</v>
      </c>
      <c r="R83" s="145">
        <f t="shared" si="21"/>
        <v>0.67266666666666675</v>
      </c>
      <c r="S83" s="145">
        <f t="shared" si="21"/>
        <v>0.73533333333333328</v>
      </c>
      <c r="T83" s="145">
        <f t="shared" si="20"/>
        <v>0.45833333333333331</v>
      </c>
      <c r="U83" s="145">
        <f t="shared" si="20"/>
        <v>0</v>
      </c>
      <c r="V83" s="145">
        <f t="shared" si="20"/>
        <v>0</v>
      </c>
      <c r="W83" s="145">
        <f t="shared" si="20"/>
        <v>0</v>
      </c>
      <c r="X83" s="145">
        <f t="shared" si="20"/>
        <v>0</v>
      </c>
      <c r="Y83" s="145">
        <f t="shared" si="20"/>
        <v>0</v>
      </c>
      <c r="Z83" s="145">
        <f t="shared" si="20"/>
        <v>0</v>
      </c>
      <c r="AA83" s="145">
        <f t="shared" si="20"/>
        <v>0</v>
      </c>
      <c r="AB83" s="145">
        <f t="shared" si="20"/>
        <v>0</v>
      </c>
    </row>
    <row r="84" spans="2:30" x14ac:dyDescent="0.25">
      <c r="D84" s="28"/>
      <c r="E84" s="28"/>
      <c r="F84" s="28"/>
      <c r="G84" s="28"/>
    </row>
    <row r="85" spans="2:30" x14ac:dyDescent="0.25">
      <c r="D85" s="28"/>
      <c r="E85" s="28" t="s">
        <v>242</v>
      </c>
      <c r="F85" s="28"/>
      <c r="G85" s="28" t="s">
        <v>166</v>
      </c>
      <c r="J85" s="145">
        <f>IF(J38 = 0, J63, J79)</f>
        <v>0.74311855346149425</v>
      </c>
      <c r="K85" s="145">
        <f t="shared" ref="K85:AB85" si="22">IF(K38 = 0, K63, K79)</f>
        <v>0.74311855346149425</v>
      </c>
      <c r="L85" s="145">
        <f t="shared" si="22"/>
        <v>0.63358271034361724</v>
      </c>
      <c r="M85" s="145">
        <f t="shared" si="22"/>
        <v>0.63358271034361724</v>
      </c>
      <c r="N85" s="145">
        <f t="shared" si="22"/>
        <v>0.78366666666666662</v>
      </c>
      <c r="O85" s="145">
        <f t="shared" si="22"/>
        <v>0.78533333333333333</v>
      </c>
      <c r="P85" s="145">
        <f t="shared" si="22"/>
        <v>0.84533333333333338</v>
      </c>
      <c r="Q85" s="145">
        <f t="shared" ref="Q85:S85" si="23">IF(Q38 = 0, Q63, Q79)</f>
        <v>0.78366666666666662</v>
      </c>
      <c r="R85" s="145">
        <f t="shared" si="23"/>
        <v>0.78533333333333333</v>
      </c>
      <c r="S85" s="145">
        <f t="shared" si="23"/>
        <v>0.84533333333333338</v>
      </c>
      <c r="T85" s="145">
        <f t="shared" si="22"/>
        <v>0.92600000000000016</v>
      </c>
      <c r="U85" s="145">
        <f t="shared" si="22"/>
        <v>0</v>
      </c>
      <c r="V85" s="145">
        <f t="shared" si="22"/>
        <v>0</v>
      </c>
      <c r="W85" s="145">
        <f t="shared" si="22"/>
        <v>0</v>
      </c>
      <c r="X85" s="145">
        <f t="shared" si="22"/>
        <v>0</v>
      </c>
      <c r="Y85" s="145">
        <f t="shared" si="22"/>
        <v>0</v>
      </c>
      <c r="Z85" s="145">
        <f t="shared" si="22"/>
        <v>0</v>
      </c>
      <c r="AA85" s="145">
        <f t="shared" si="22"/>
        <v>0</v>
      </c>
      <c r="AB85" s="145">
        <f t="shared" si="22"/>
        <v>0</v>
      </c>
    </row>
    <row r="87" spans="2:30" x14ac:dyDescent="0.25">
      <c r="C87" s="31" t="str">
        <f ca="1">INDEX('Version control'!$H$34:$H$57,MATCH($A$1,'Version control'!$F$34:$F$57,0),1)&amp;"-G: Calculation of correction factor"</f>
        <v>Section 105-G: Calculation of correction factor</v>
      </c>
      <c r="D87" s="31"/>
      <c r="E87" s="31"/>
      <c r="F87" s="31"/>
      <c r="G87" s="31"/>
      <c r="H87" s="31"/>
      <c r="I87" s="31"/>
      <c r="J87" s="31"/>
      <c r="K87" s="31"/>
      <c r="L87" s="31"/>
      <c r="M87" s="31"/>
      <c r="N87" s="31"/>
      <c r="O87" s="31"/>
      <c r="P87" s="31"/>
      <c r="Q87" s="31"/>
      <c r="R87" s="31"/>
      <c r="S87" s="31"/>
      <c r="T87" s="31"/>
      <c r="U87" s="31"/>
      <c r="V87" s="31"/>
      <c r="W87" s="31"/>
      <c r="X87" s="31"/>
      <c r="Y87" s="31"/>
      <c r="Z87" s="31"/>
      <c r="AA87" s="31"/>
      <c r="AB87" s="31"/>
      <c r="AC87" s="31"/>
      <c r="AD87" s="31"/>
    </row>
    <row r="89" spans="2:30" x14ac:dyDescent="0.25">
      <c r="E89" s="28" t="s">
        <v>471</v>
      </c>
      <c r="G89" s="28" t="s">
        <v>282</v>
      </c>
      <c r="J89" s="89">
        <f t="shared" ref="J89:AB89" si="24">IF(AND(J62 = 0, J63 = 0), 1, J63 / J62)</f>
        <v>2.0029717682020798</v>
      </c>
      <c r="K89" s="89">
        <f t="shared" si="24"/>
        <v>0</v>
      </c>
      <c r="L89" s="89">
        <f t="shared" si="24"/>
        <v>1.5943999999999998</v>
      </c>
      <c r="M89" s="89">
        <f t="shared" si="24"/>
        <v>0</v>
      </c>
      <c r="N89" s="89">
        <f t="shared" si="24"/>
        <v>1.40947242206235</v>
      </c>
      <c r="O89" s="89">
        <f t="shared" si="24"/>
        <v>1.1674925668979186</v>
      </c>
      <c r="P89" s="89">
        <f t="shared" si="24"/>
        <v>1.1495920217588396</v>
      </c>
      <c r="Q89" s="89">
        <f t="shared" ref="Q89:S89" si="25">IF(AND(Q62 = 0, Q63 = 0), 1, Q63 / Q62)</f>
        <v>1.40947242206235</v>
      </c>
      <c r="R89" s="89">
        <f t="shared" si="25"/>
        <v>1.1674925668979186</v>
      </c>
      <c r="S89" s="89">
        <f t="shared" si="25"/>
        <v>1.1495920217588396</v>
      </c>
      <c r="T89" s="89">
        <f t="shared" si="24"/>
        <v>2.0203636363636366</v>
      </c>
      <c r="U89" s="89">
        <f t="shared" si="24"/>
        <v>1</v>
      </c>
      <c r="V89" s="89">
        <f t="shared" si="24"/>
        <v>1</v>
      </c>
      <c r="W89" s="89">
        <f t="shared" si="24"/>
        <v>1</v>
      </c>
      <c r="X89" s="89">
        <f t="shared" si="24"/>
        <v>1</v>
      </c>
      <c r="Y89" s="89">
        <f t="shared" si="24"/>
        <v>1</v>
      </c>
      <c r="Z89" s="89">
        <f t="shared" si="24"/>
        <v>1</v>
      </c>
      <c r="AA89" s="89">
        <f t="shared" si="24"/>
        <v>1</v>
      </c>
      <c r="AB89" s="89">
        <f t="shared" si="24"/>
        <v>1</v>
      </c>
    </row>
    <row r="90" spans="2:30" x14ac:dyDescent="0.25">
      <c r="D90" s="32"/>
      <c r="J90" s="120"/>
      <c r="K90" s="120"/>
      <c r="L90" s="120"/>
      <c r="M90" s="120"/>
      <c r="N90" s="120"/>
      <c r="O90" s="120"/>
      <c r="P90" s="120"/>
      <c r="Q90" s="120"/>
      <c r="R90" s="120"/>
      <c r="S90" s="120"/>
      <c r="T90" s="120"/>
      <c r="U90" s="120"/>
      <c r="V90" s="120"/>
      <c r="W90" s="120"/>
      <c r="X90" s="120"/>
      <c r="Y90" s="120"/>
      <c r="Z90" s="120"/>
      <c r="AA90" s="120"/>
      <c r="AB90" s="120"/>
    </row>
    <row r="91" spans="2:30" x14ac:dyDescent="0.25">
      <c r="E91" s="28" t="s">
        <v>968</v>
      </c>
      <c r="G91" s="28" t="s">
        <v>282</v>
      </c>
      <c r="I91" s="332" t="s">
        <v>153</v>
      </c>
      <c r="J91" s="89">
        <f>IF(AND(J83 = 0, J85 = 0), 1, J85 / J83)</f>
        <v>1.9139760190013639</v>
      </c>
      <c r="K91" s="89">
        <f t="shared" ref="K91:AB91" si="26">IF(AND(K83 = 0, K85 = 0), 1, K85 / K83)</f>
        <v>1.9139760190013639</v>
      </c>
      <c r="L91" s="89">
        <f t="shared" si="26"/>
        <v>1.5371051738770727</v>
      </c>
      <c r="M91" s="89">
        <f t="shared" si="26"/>
        <v>1.5371051738770727</v>
      </c>
      <c r="N91" s="89">
        <f>IF(AND(N83 = 0, N85 = 0), 1, N85 / N83)</f>
        <v>1.40947242206235</v>
      </c>
      <c r="O91" s="89">
        <f t="shared" si="26"/>
        <v>1.1674925668979186</v>
      </c>
      <c r="P91" s="89">
        <f t="shared" si="26"/>
        <v>1.1495920217588396</v>
      </c>
      <c r="Q91" s="89">
        <f t="shared" ref="Q91:S91" si="27">IF(AND(Q83 = 0, Q85 = 0), 1, Q85 / Q83)</f>
        <v>1.40947242206235</v>
      </c>
      <c r="R91" s="89">
        <f t="shared" si="27"/>
        <v>1.1674925668979186</v>
      </c>
      <c r="S91" s="89">
        <f t="shared" si="27"/>
        <v>1.1495920217588396</v>
      </c>
      <c r="T91" s="89">
        <f t="shared" si="26"/>
        <v>2.0203636363636366</v>
      </c>
      <c r="U91" s="89">
        <f t="shared" si="26"/>
        <v>1</v>
      </c>
      <c r="V91" s="89">
        <f t="shared" si="26"/>
        <v>1</v>
      </c>
      <c r="W91" s="89">
        <f t="shared" si="26"/>
        <v>1</v>
      </c>
      <c r="X91" s="89">
        <f t="shared" si="26"/>
        <v>1</v>
      </c>
      <c r="Y91" s="89">
        <f t="shared" si="26"/>
        <v>1</v>
      </c>
      <c r="Z91" s="89">
        <f t="shared" si="26"/>
        <v>1</v>
      </c>
      <c r="AA91" s="89">
        <f t="shared" si="26"/>
        <v>1</v>
      </c>
      <c r="AB91" s="89">
        <f t="shared" si="26"/>
        <v>1</v>
      </c>
      <c r="AC91" s="89"/>
      <c r="AD91" s="332" t="s">
        <v>973</v>
      </c>
    </row>
    <row r="92" spans="2:30" x14ac:dyDescent="0.25">
      <c r="D92" s="32"/>
      <c r="J92" s="120"/>
      <c r="K92" s="120"/>
      <c r="L92" s="120"/>
      <c r="M92" s="120"/>
      <c r="N92" s="120"/>
      <c r="O92" s="120"/>
      <c r="P92" s="120"/>
      <c r="Q92" s="120"/>
      <c r="R92" s="120"/>
      <c r="S92" s="120"/>
      <c r="T92" s="120"/>
      <c r="U92" s="120"/>
      <c r="V92" s="120"/>
      <c r="W92" s="120"/>
      <c r="X92" s="120"/>
      <c r="Y92" s="120"/>
      <c r="Z92" s="120"/>
      <c r="AA92" s="120"/>
      <c r="AB92" s="120"/>
    </row>
    <row r="93" spans="2:30" x14ac:dyDescent="0.25">
      <c r="E93" s="28" t="s">
        <v>472</v>
      </c>
      <c r="G93" s="28" t="s">
        <v>282</v>
      </c>
      <c r="I93" t="s">
        <v>153</v>
      </c>
      <c r="J93" s="89">
        <f>IF(OR(J54 = 0, J85 = 0), 1, J91 / J54)</f>
        <v>1.3983964414904044</v>
      </c>
      <c r="K93" s="89">
        <f t="shared" ref="K93:AB93" si="28">IF(OR(K54 = 0, K85 = 0), 1, K91 / K54)</f>
        <v>1.3983964414904044</v>
      </c>
      <c r="L93" s="89">
        <f t="shared" si="28"/>
        <v>1.6242445441260454</v>
      </c>
      <c r="M93" s="89">
        <f t="shared" si="28"/>
        <v>1.6242445441260454</v>
      </c>
      <c r="N93" s="89">
        <f>IF(OR(N54 = 0, N85 = 0), 1, N91 / N54)</f>
        <v>1.255585377292165</v>
      </c>
      <c r="O93" s="89">
        <f t="shared" si="28"/>
        <v>1.0740373522207327</v>
      </c>
      <c r="P93" s="89">
        <f t="shared" si="28"/>
        <v>1.0901595846527321</v>
      </c>
      <c r="Q93" s="89">
        <f t="shared" ref="Q93:S93" si="29">IF(OR(Q54 = 0, Q85 = 0), 1, Q91 / Q54)</f>
        <v>1.255585377292165</v>
      </c>
      <c r="R93" s="89">
        <f t="shared" si="29"/>
        <v>1.0740373522207327</v>
      </c>
      <c r="S93" s="89">
        <f t="shared" si="29"/>
        <v>1.0901595846527321</v>
      </c>
      <c r="T93" s="89">
        <f t="shared" si="28"/>
        <v>1.0991023294611466</v>
      </c>
      <c r="U93" s="89">
        <f t="shared" si="28"/>
        <v>1</v>
      </c>
      <c r="V93" s="89">
        <f t="shared" si="28"/>
        <v>1</v>
      </c>
      <c r="W93" s="89">
        <f t="shared" si="28"/>
        <v>1</v>
      </c>
      <c r="X93" s="89">
        <f t="shared" si="28"/>
        <v>1</v>
      </c>
      <c r="Y93" s="89">
        <f t="shared" si="28"/>
        <v>1</v>
      </c>
      <c r="Z93" s="89">
        <f t="shared" si="28"/>
        <v>1</v>
      </c>
      <c r="AA93" s="89">
        <f t="shared" si="28"/>
        <v>1</v>
      </c>
      <c r="AB93" s="89">
        <f t="shared" si="28"/>
        <v>1</v>
      </c>
      <c r="AD93" t="s">
        <v>473</v>
      </c>
    </row>
    <row r="94" spans="2:30" x14ac:dyDescent="0.25">
      <c r="F94" s="28"/>
      <c r="G94" s="28"/>
    </row>
    <row r="95" spans="2:30" x14ac:dyDescent="0.25">
      <c r="B95" s="30" t="s">
        <v>474</v>
      </c>
      <c r="C95" s="105"/>
      <c r="D95" s="104"/>
      <c r="E95" s="104"/>
      <c r="F95" s="105"/>
      <c r="G95" s="105"/>
      <c r="H95" s="105"/>
      <c r="I95" s="105"/>
      <c r="J95" s="105"/>
      <c r="K95" s="105"/>
      <c r="L95" s="105"/>
      <c r="M95" s="105"/>
      <c r="N95" s="105"/>
      <c r="O95" s="105"/>
      <c r="P95" s="105"/>
      <c r="Q95" s="105"/>
      <c r="R95" s="105"/>
      <c r="S95" s="105"/>
      <c r="T95" s="105"/>
      <c r="U95" s="105"/>
      <c r="V95" s="105"/>
      <c r="W95" s="105"/>
      <c r="X95" s="105"/>
      <c r="Y95" s="105"/>
      <c r="Z95" s="105"/>
      <c r="AA95" s="105"/>
      <c r="AB95" s="105"/>
      <c r="AC95" s="105"/>
      <c r="AD95" s="105"/>
    </row>
    <row r="97" spans="3:30" x14ac:dyDescent="0.25">
      <c r="C97" s="29" t="s">
        <v>476</v>
      </c>
      <c r="I97" t="s">
        <v>153</v>
      </c>
      <c r="AD97" t="s">
        <v>475</v>
      </c>
    </row>
    <row r="98" spans="3:30" x14ac:dyDescent="0.25">
      <c r="C98" s="29" t="s">
        <v>477</v>
      </c>
    </row>
    <row r="100" spans="3:30" x14ac:dyDescent="0.25">
      <c r="C100" s="31" t="str">
        <f ca="1">INDEX('Version control'!$H$34:$H$57,MATCH($A$1,'Version control'!$F$34:$F$57,0),1)&amp;"-H: Peaking probabilities, by network level"</f>
        <v>Section 105-H: Peaking probabilities, by network level</v>
      </c>
      <c r="D100" s="31"/>
      <c r="E100" s="31"/>
      <c r="F100" s="31"/>
      <c r="G100" s="31"/>
      <c r="H100" s="31"/>
      <c r="I100" s="31"/>
      <c r="J100" s="31"/>
      <c r="K100" s="31"/>
      <c r="L100" s="31"/>
      <c r="M100" s="31"/>
      <c r="N100" s="31"/>
      <c r="O100" s="31"/>
      <c r="P100" s="31"/>
      <c r="Q100" s="31"/>
      <c r="R100" s="31"/>
      <c r="S100" s="31"/>
      <c r="T100" s="31"/>
      <c r="U100" s="31"/>
      <c r="V100" s="31"/>
      <c r="W100" s="31"/>
      <c r="X100" s="31"/>
      <c r="Y100" s="31"/>
      <c r="Z100" s="31"/>
      <c r="AA100" s="31"/>
      <c r="AB100" s="31"/>
      <c r="AC100" s="31"/>
      <c r="AD100" s="31"/>
    </row>
    <row r="102" spans="3:30" x14ac:dyDescent="0.25">
      <c r="E102" s="32" t="s">
        <v>478</v>
      </c>
      <c r="G102" s="28"/>
    </row>
    <row r="103" spans="3:30" x14ac:dyDescent="0.25">
      <c r="F103" s="78" t="s">
        <v>293</v>
      </c>
      <c r="G103" s="64" t="s">
        <v>166</v>
      </c>
      <c r="H103" s="107">
        <f>'Inputs by network level'!K40</f>
        <v>0.73685290844250551</v>
      </c>
    </row>
    <row r="104" spans="3:30" x14ac:dyDescent="0.25">
      <c r="F104" s="72" t="s">
        <v>294</v>
      </c>
      <c r="G104" s="28" t="s">
        <v>166</v>
      </c>
      <c r="H104" s="25">
        <f>'Inputs by network level'!K41</f>
        <v>0.25763649230764868</v>
      </c>
    </row>
    <row r="105" spans="3:30" x14ac:dyDescent="0.25">
      <c r="F105" s="80" t="s">
        <v>256</v>
      </c>
      <c r="G105" s="67" t="s">
        <v>166</v>
      </c>
      <c r="H105" s="141">
        <f>'Inputs by network level'!K42</f>
        <v>5.5105992498457714E-3</v>
      </c>
    </row>
    <row r="106" spans="3:30" x14ac:dyDescent="0.25">
      <c r="F106" s="78" t="s">
        <v>295</v>
      </c>
      <c r="G106" s="64" t="s">
        <v>166</v>
      </c>
      <c r="H106" s="107">
        <f>'Inputs by network level'!K43</f>
        <v>0.67055113994438198</v>
      </c>
    </row>
    <row r="107" spans="3:30" x14ac:dyDescent="0.25">
      <c r="F107" s="72" t="s">
        <v>304</v>
      </c>
      <c r="G107" s="28" t="s">
        <v>166</v>
      </c>
      <c r="H107" s="156">
        <f>SUM(H103:H104) - H106</f>
        <v>0.32393826080577215</v>
      </c>
    </row>
    <row r="108" spans="3:30" x14ac:dyDescent="0.25">
      <c r="F108" s="80" t="s">
        <v>256</v>
      </c>
      <c r="G108" s="67" t="s">
        <v>166</v>
      </c>
      <c r="H108" s="157">
        <f>H105</f>
        <v>5.5105992498457714E-3</v>
      </c>
    </row>
    <row r="109" spans="3:30" x14ac:dyDescent="0.25">
      <c r="F109" s="29"/>
      <c r="G109" s="28"/>
    </row>
    <row r="110" spans="3:30" x14ac:dyDescent="0.25">
      <c r="E110" s="32" t="s">
        <v>479</v>
      </c>
      <c r="G110" s="28"/>
    </row>
    <row r="111" spans="3:30" x14ac:dyDescent="0.25">
      <c r="F111" s="78" t="s">
        <v>464</v>
      </c>
      <c r="G111" s="64" t="s">
        <v>166</v>
      </c>
      <c r="H111" s="107">
        <f>'Inputs by network level'!L40</f>
        <v>0</v>
      </c>
    </row>
    <row r="112" spans="3:30" x14ac:dyDescent="0.25">
      <c r="F112" s="72" t="s">
        <v>465</v>
      </c>
      <c r="G112" s="28" t="s">
        <v>166</v>
      </c>
      <c r="H112" s="25">
        <f>'Inputs by network level'!L41</f>
        <v>0</v>
      </c>
    </row>
    <row r="113" spans="5:8" x14ac:dyDescent="0.25">
      <c r="F113" s="80" t="s">
        <v>256</v>
      </c>
      <c r="G113" s="67" t="s">
        <v>166</v>
      </c>
      <c r="H113" s="141">
        <f>'Inputs by network level'!L42</f>
        <v>0</v>
      </c>
    </row>
    <row r="114" spans="5:8" x14ac:dyDescent="0.25">
      <c r="F114" s="78" t="s">
        <v>295</v>
      </c>
      <c r="G114" s="64" t="s">
        <v>166</v>
      </c>
      <c r="H114" s="107">
        <f>'Inputs by network level'!L43</f>
        <v>0</v>
      </c>
    </row>
    <row r="115" spans="5:8" x14ac:dyDescent="0.25">
      <c r="F115" s="72" t="s">
        <v>304</v>
      </c>
      <c r="G115" s="28" t="s">
        <v>166</v>
      </c>
      <c r="H115" s="156">
        <f>SUM(H111:H112) - H114</f>
        <v>0</v>
      </c>
    </row>
    <row r="116" spans="5:8" x14ac:dyDescent="0.25">
      <c r="F116" s="80" t="s">
        <v>256</v>
      </c>
      <c r="G116" s="67" t="s">
        <v>166</v>
      </c>
      <c r="H116" s="157">
        <f>H113</f>
        <v>0</v>
      </c>
    </row>
    <row r="117" spans="5:8" x14ac:dyDescent="0.25">
      <c r="F117" s="29"/>
      <c r="G117" s="28"/>
    </row>
    <row r="118" spans="5:8" x14ac:dyDescent="0.25">
      <c r="E118" s="32" t="s">
        <v>480</v>
      </c>
      <c r="G118" s="28"/>
    </row>
    <row r="119" spans="5:8" x14ac:dyDescent="0.25">
      <c r="F119" s="78" t="s">
        <v>464</v>
      </c>
      <c r="G119" s="64" t="s">
        <v>166</v>
      </c>
      <c r="H119" s="107">
        <f>'Inputs by network level'!M40</f>
        <v>0</v>
      </c>
    </row>
    <row r="120" spans="5:8" x14ac:dyDescent="0.25">
      <c r="F120" s="72" t="s">
        <v>465</v>
      </c>
      <c r="G120" s="28" t="s">
        <v>166</v>
      </c>
      <c r="H120" s="25">
        <f>'Inputs by network level'!M41</f>
        <v>0</v>
      </c>
    </row>
    <row r="121" spans="5:8" x14ac:dyDescent="0.25">
      <c r="F121" s="80" t="s">
        <v>256</v>
      </c>
      <c r="G121" s="67" t="s">
        <v>166</v>
      </c>
      <c r="H121" s="141">
        <f>'Inputs by network level'!M42</f>
        <v>0</v>
      </c>
    </row>
    <row r="122" spans="5:8" x14ac:dyDescent="0.25">
      <c r="F122" s="78" t="s">
        <v>295</v>
      </c>
      <c r="G122" s="64" t="s">
        <v>166</v>
      </c>
      <c r="H122" s="107">
        <f>'Inputs by network level'!M43</f>
        <v>0</v>
      </c>
    </row>
    <row r="123" spans="5:8" x14ac:dyDescent="0.25">
      <c r="F123" s="72" t="s">
        <v>304</v>
      </c>
      <c r="G123" s="28" t="s">
        <v>166</v>
      </c>
      <c r="H123" s="156">
        <f>SUM(H119:H120) - H122</f>
        <v>0</v>
      </c>
    </row>
    <row r="124" spans="5:8" x14ac:dyDescent="0.25">
      <c r="F124" s="80" t="s">
        <v>256</v>
      </c>
      <c r="G124" s="67" t="s">
        <v>166</v>
      </c>
      <c r="H124" s="157">
        <f>H121</f>
        <v>0</v>
      </c>
    </row>
    <row r="125" spans="5:8" x14ac:dyDescent="0.25">
      <c r="F125" s="29"/>
      <c r="G125" s="28"/>
    </row>
    <row r="126" spans="5:8" x14ac:dyDescent="0.25">
      <c r="E126" s="32" t="s">
        <v>481</v>
      </c>
      <c r="G126" s="28"/>
    </row>
    <row r="127" spans="5:8" x14ac:dyDescent="0.25">
      <c r="F127" s="78" t="s">
        <v>464</v>
      </c>
      <c r="G127" s="64" t="s">
        <v>166</v>
      </c>
      <c r="H127" s="107">
        <f>'Inputs by network level'!N40</f>
        <v>0.73685290844250551</v>
      </c>
    </row>
    <row r="128" spans="5:8" x14ac:dyDescent="0.25">
      <c r="F128" s="72" t="s">
        <v>465</v>
      </c>
      <c r="G128" s="28" t="s">
        <v>166</v>
      </c>
      <c r="H128" s="25">
        <f>'Inputs by network level'!N41</f>
        <v>0.25763649230764868</v>
      </c>
    </row>
    <row r="129" spans="5:8" x14ac:dyDescent="0.25">
      <c r="F129" s="80" t="s">
        <v>256</v>
      </c>
      <c r="G129" s="67" t="s">
        <v>166</v>
      </c>
      <c r="H129" s="141">
        <f>'Inputs by network level'!N42</f>
        <v>5.5105992498457714E-3</v>
      </c>
    </row>
    <row r="130" spans="5:8" x14ac:dyDescent="0.25">
      <c r="F130" s="78" t="s">
        <v>295</v>
      </c>
      <c r="G130" s="64" t="s">
        <v>166</v>
      </c>
      <c r="H130" s="107">
        <f>'Inputs by network level'!N43</f>
        <v>0.67055113994438198</v>
      </c>
    </row>
    <row r="131" spans="5:8" x14ac:dyDescent="0.25">
      <c r="F131" s="72" t="s">
        <v>304</v>
      </c>
      <c r="G131" s="28" t="s">
        <v>166</v>
      </c>
      <c r="H131" s="156">
        <f>SUM(H127:H128) - H130</f>
        <v>0.32393826080577215</v>
      </c>
    </row>
    <row r="132" spans="5:8" x14ac:dyDescent="0.25">
      <c r="F132" s="80" t="s">
        <v>256</v>
      </c>
      <c r="G132" s="67" t="s">
        <v>166</v>
      </c>
      <c r="H132" s="157">
        <f>H129</f>
        <v>5.5105992498457714E-3</v>
      </c>
    </row>
    <row r="133" spans="5:8" x14ac:dyDescent="0.25">
      <c r="F133" s="29"/>
      <c r="G133" s="28"/>
    </row>
    <row r="134" spans="5:8" x14ac:dyDescent="0.25">
      <c r="E134" s="32" t="s">
        <v>482</v>
      </c>
      <c r="G134" s="28"/>
    </row>
    <row r="135" spans="5:8" x14ac:dyDescent="0.25">
      <c r="F135" s="78" t="s">
        <v>464</v>
      </c>
      <c r="G135" s="64" t="s">
        <v>166</v>
      </c>
      <c r="H135" s="107">
        <f>'Inputs by network level'!O40</f>
        <v>0.64549570804091005</v>
      </c>
    </row>
    <row r="136" spans="5:8" x14ac:dyDescent="0.25">
      <c r="F136" s="72" t="s">
        <v>465</v>
      </c>
      <c r="G136" s="28" t="s">
        <v>166</v>
      </c>
      <c r="H136" s="25">
        <f>'Inputs by network level'!O41</f>
        <v>0.33912381234136874</v>
      </c>
    </row>
    <row r="137" spans="5:8" x14ac:dyDescent="0.25">
      <c r="F137" s="80" t="s">
        <v>256</v>
      </c>
      <c r="G137" s="67" t="s">
        <v>166</v>
      </c>
      <c r="H137" s="141">
        <f>'Inputs by network level'!O42</f>
        <v>1.5380479617721122E-2</v>
      </c>
    </row>
    <row r="138" spans="5:8" x14ac:dyDescent="0.25">
      <c r="F138" s="78" t="s">
        <v>295</v>
      </c>
      <c r="G138" s="64" t="s">
        <v>166</v>
      </c>
      <c r="H138" s="107">
        <f>'Inputs by network level'!O43</f>
        <v>0.60511449175300125</v>
      </c>
    </row>
    <row r="139" spans="5:8" x14ac:dyDescent="0.25">
      <c r="F139" s="72" t="s">
        <v>304</v>
      </c>
      <c r="G139" s="28" t="s">
        <v>166</v>
      </c>
      <c r="H139" s="156">
        <f>SUM(H135:H136) - H138</f>
        <v>0.37950502862927749</v>
      </c>
    </row>
    <row r="140" spans="5:8" x14ac:dyDescent="0.25">
      <c r="F140" s="80" t="s">
        <v>256</v>
      </c>
      <c r="G140" s="67" t="s">
        <v>166</v>
      </c>
      <c r="H140" s="157">
        <f>H137</f>
        <v>1.5380479617721122E-2</v>
      </c>
    </row>
    <row r="141" spans="5:8" x14ac:dyDescent="0.25">
      <c r="F141" s="29"/>
      <c r="G141" s="28"/>
    </row>
    <row r="142" spans="5:8" x14ac:dyDescent="0.25">
      <c r="E142" s="32" t="s">
        <v>483</v>
      </c>
      <c r="G142" s="28"/>
    </row>
    <row r="143" spans="5:8" x14ac:dyDescent="0.25">
      <c r="F143" s="78" t="s">
        <v>464</v>
      </c>
      <c r="G143" s="64" t="s">
        <v>166</v>
      </c>
      <c r="H143" s="107">
        <f>'Inputs by network level'!P40</f>
        <v>0</v>
      </c>
    </row>
    <row r="144" spans="5:8" x14ac:dyDescent="0.25">
      <c r="F144" s="72" t="s">
        <v>465</v>
      </c>
      <c r="G144" s="28" t="s">
        <v>166</v>
      </c>
      <c r="H144" s="25">
        <f>'Inputs by network level'!P41</f>
        <v>0</v>
      </c>
    </row>
    <row r="145" spans="5:8" x14ac:dyDescent="0.25">
      <c r="F145" s="80" t="s">
        <v>256</v>
      </c>
      <c r="G145" s="67" t="s">
        <v>166</v>
      </c>
      <c r="H145" s="141">
        <f>'Inputs by network level'!P42</f>
        <v>0</v>
      </c>
    </row>
    <row r="146" spans="5:8" x14ac:dyDescent="0.25">
      <c r="F146" s="78" t="s">
        <v>295</v>
      </c>
      <c r="G146" s="64" t="s">
        <v>166</v>
      </c>
      <c r="H146" s="107">
        <f>'Inputs by network level'!P43</f>
        <v>0</v>
      </c>
    </row>
    <row r="147" spans="5:8" x14ac:dyDescent="0.25">
      <c r="F147" s="72" t="s">
        <v>304</v>
      </c>
      <c r="G147" s="28" t="s">
        <v>166</v>
      </c>
      <c r="H147" s="156">
        <f>SUM(H143:H144) - H146</f>
        <v>0</v>
      </c>
    </row>
    <row r="148" spans="5:8" x14ac:dyDescent="0.25">
      <c r="F148" s="80" t="s">
        <v>256</v>
      </c>
      <c r="G148" s="67" t="s">
        <v>166</v>
      </c>
      <c r="H148" s="157">
        <f>H145</f>
        <v>0</v>
      </c>
    </row>
    <row r="149" spans="5:8" x14ac:dyDescent="0.25">
      <c r="F149" s="29"/>
      <c r="G149" s="28"/>
    </row>
    <row r="150" spans="5:8" x14ac:dyDescent="0.25">
      <c r="E150" s="32" t="s">
        <v>484</v>
      </c>
      <c r="G150" s="28"/>
    </row>
    <row r="151" spans="5:8" x14ac:dyDescent="0.25">
      <c r="F151" s="78" t="s">
        <v>464</v>
      </c>
      <c r="G151" s="64" t="s">
        <v>166</v>
      </c>
      <c r="H151" s="107">
        <f>'Inputs by network level'!Q40</f>
        <v>0.64549570804091005</v>
      </c>
    </row>
    <row r="152" spans="5:8" x14ac:dyDescent="0.25">
      <c r="F152" s="72" t="s">
        <v>465</v>
      </c>
      <c r="G152" s="28" t="s">
        <v>166</v>
      </c>
      <c r="H152" s="25">
        <f>'Inputs by network level'!Q41</f>
        <v>0.33912381234136874</v>
      </c>
    </row>
    <row r="153" spans="5:8" x14ac:dyDescent="0.25">
      <c r="F153" s="80" t="s">
        <v>256</v>
      </c>
      <c r="G153" s="67" t="s">
        <v>166</v>
      </c>
      <c r="H153" s="141">
        <f>'Inputs by network level'!Q42</f>
        <v>1.5380479617721122E-2</v>
      </c>
    </row>
    <row r="154" spans="5:8" x14ac:dyDescent="0.25">
      <c r="F154" s="78" t="s">
        <v>295</v>
      </c>
      <c r="G154" s="64" t="s">
        <v>166</v>
      </c>
      <c r="H154" s="107">
        <f>'Inputs by network level'!Q43</f>
        <v>0.60511449175300125</v>
      </c>
    </row>
    <row r="155" spans="5:8" x14ac:dyDescent="0.25">
      <c r="F155" s="72" t="s">
        <v>304</v>
      </c>
      <c r="G155" s="28" t="s">
        <v>166</v>
      </c>
      <c r="H155" s="156">
        <f>SUM(H151:H152) - H154</f>
        <v>0.37950502862927749</v>
      </c>
    </row>
    <row r="156" spans="5:8" x14ac:dyDescent="0.25">
      <c r="F156" s="80" t="s">
        <v>256</v>
      </c>
      <c r="G156" s="67" t="s">
        <v>166</v>
      </c>
      <c r="H156" s="157">
        <f>H153</f>
        <v>1.5380479617721122E-2</v>
      </c>
    </row>
    <row r="157" spans="5:8" x14ac:dyDescent="0.25">
      <c r="F157" s="29"/>
      <c r="G157" s="28"/>
    </row>
    <row r="158" spans="5:8" x14ac:dyDescent="0.25">
      <c r="E158" s="32" t="s">
        <v>485</v>
      </c>
      <c r="G158" s="28"/>
    </row>
    <row r="159" spans="5:8" x14ac:dyDescent="0.25">
      <c r="F159" s="78" t="s">
        <v>464</v>
      </c>
      <c r="G159" s="64" t="s">
        <v>166</v>
      </c>
      <c r="H159" s="107">
        <f>'Inputs by network level'!R40</f>
        <v>0.64549570804091005</v>
      </c>
    </row>
    <row r="160" spans="5:8" x14ac:dyDescent="0.25">
      <c r="F160" s="72" t="s">
        <v>465</v>
      </c>
      <c r="G160" s="28" t="s">
        <v>166</v>
      </c>
      <c r="H160" s="25">
        <f>'Inputs by network level'!R41</f>
        <v>0.33912381234136874</v>
      </c>
    </row>
    <row r="161" spans="3:30" x14ac:dyDescent="0.25">
      <c r="F161" s="80" t="s">
        <v>256</v>
      </c>
      <c r="G161" s="67" t="s">
        <v>166</v>
      </c>
      <c r="H161" s="141">
        <f>'Inputs by network level'!R42</f>
        <v>1.5380479617721122E-2</v>
      </c>
    </row>
    <row r="162" spans="3:30" x14ac:dyDescent="0.25">
      <c r="F162" s="78" t="s">
        <v>295</v>
      </c>
      <c r="G162" s="64" t="s">
        <v>166</v>
      </c>
      <c r="H162" s="107">
        <f>'Inputs by network level'!R43</f>
        <v>0.60511449175300125</v>
      </c>
    </row>
    <row r="163" spans="3:30" x14ac:dyDescent="0.25">
      <c r="F163" s="72" t="s">
        <v>304</v>
      </c>
      <c r="G163" s="28" t="s">
        <v>166</v>
      </c>
      <c r="H163" s="156">
        <f>SUM(H159:H160) - H162</f>
        <v>0.37950502862927749</v>
      </c>
    </row>
    <row r="164" spans="3:30" x14ac:dyDescent="0.25">
      <c r="F164" s="80" t="s">
        <v>256</v>
      </c>
      <c r="G164" s="67" t="s">
        <v>166</v>
      </c>
      <c r="H164" s="157">
        <f>H161</f>
        <v>1.5380479617721122E-2</v>
      </c>
    </row>
    <row r="165" spans="3:30" x14ac:dyDescent="0.25">
      <c r="F165" s="29"/>
      <c r="G165" s="28"/>
    </row>
    <row r="166" spans="3:30" x14ac:dyDescent="0.25">
      <c r="E166" s="32" t="s">
        <v>486</v>
      </c>
      <c r="G166" s="28"/>
    </row>
    <row r="167" spans="3:30" x14ac:dyDescent="0.25">
      <c r="F167" s="78" t="s">
        <v>464</v>
      </c>
      <c r="G167" s="64" t="s">
        <v>166</v>
      </c>
      <c r="H167" s="107">
        <f>'Inputs by network level'!S40</f>
        <v>0.64549570804091005</v>
      </c>
    </row>
    <row r="168" spans="3:30" x14ac:dyDescent="0.25">
      <c r="F168" s="72" t="s">
        <v>465</v>
      </c>
      <c r="G168" s="28" t="s">
        <v>166</v>
      </c>
      <c r="H168" s="25">
        <f>'Inputs by network level'!S41</f>
        <v>0.33912381234136874</v>
      </c>
    </row>
    <row r="169" spans="3:30" x14ac:dyDescent="0.25">
      <c r="F169" s="80" t="s">
        <v>256</v>
      </c>
      <c r="G169" s="67" t="s">
        <v>166</v>
      </c>
      <c r="H169" s="141">
        <f>'Inputs by network level'!S42</f>
        <v>1.5380479617721122E-2</v>
      </c>
    </row>
    <row r="170" spans="3:30" x14ac:dyDescent="0.25">
      <c r="F170" s="78" t="s">
        <v>295</v>
      </c>
      <c r="G170" s="64" t="s">
        <v>166</v>
      </c>
      <c r="H170" s="107">
        <f>'Inputs by network level'!S43</f>
        <v>0.60511449175300125</v>
      </c>
    </row>
    <row r="171" spans="3:30" x14ac:dyDescent="0.25">
      <c r="F171" s="72" t="s">
        <v>304</v>
      </c>
      <c r="G171" s="28" t="s">
        <v>166</v>
      </c>
      <c r="H171" s="156">
        <f>SUM(H167:H168) - H170</f>
        <v>0.37950502862927749</v>
      </c>
    </row>
    <row r="172" spans="3:30" x14ac:dyDescent="0.25">
      <c r="F172" s="80" t="s">
        <v>256</v>
      </c>
      <c r="G172" s="67" t="s">
        <v>166</v>
      </c>
      <c r="H172" s="157">
        <f>H169</f>
        <v>1.5380479617721122E-2</v>
      </c>
    </row>
    <row r="173" spans="3:30" x14ac:dyDescent="0.25">
      <c r="E173" s="29"/>
      <c r="F173" s="28"/>
      <c r="G173" s="28"/>
    </row>
    <row r="174" spans="3:30" x14ac:dyDescent="0.25">
      <c r="C174" s="31" t="str">
        <f ca="1">INDEX('Version control'!$H$34:$H$57,MATCH($A$1,'Version control'!$F$34:$F$57,0),1)&amp;"-I: Peaking probabilities, by network level and customer type"</f>
        <v>Section 105-I: Peaking probabilities, by network level and customer type</v>
      </c>
      <c r="D174" s="31"/>
      <c r="E174" s="31"/>
      <c r="F174" s="31"/>
      <c r="G174" s="31"/>
      <c r="H174" s="31"/>
      <c r="I174" s="31"/>
      <c r="J174" s="31"/>
      <c r="K174" s="31"/>
      <c r="L174" s="31"/>
      <c r="M174" s="31"/>
      <c r="N174" s="31"/>
      <c r="O174" s="31"/>
      <c r="P174" s="31"/>
      <c r="Q174" s="31"/>
      <c r="R174" s="31"/>
      <c r="S174" s="31"/>
      <c r="T174" s="31"/>
      <c r="U174" s="31"/>
      <c r="V174" s="31"/>
      <c r="W174" s="31"/>
      <c r="X174" s="31"/>
      <c r="Y174" s="31"/>
      <c r="Z174" s="31"/>
      <c r="AA174" s="31"/>
      <c r="AB174" s="31"/>
      <c r="AC174" s="31"/>
      <c r="AD174" s="31"/>
    </row>
    <row r="176" spans="3:30" x14ac:dyDescent="0.25">
      <c r="E176" s="32" t="s">
        <v>478</v>
      </c>
      <c r="G176" s="28"/>
    </row>
    <row r="177" spans="5:28" x14ac:dyDescent="0.25">
      <c r="E177" s="29"/>
      <c r="F177" s="78" t="s">
        <v>464</v>
      </c>
      <c r="G177" s="64" t="s">
        <v>166</v>
      </c>
      <c r="H177" s="107"/>
      <c r="I177" s="23"/>
      <c r="J177" s="154">
        <f t="shared" ref="J177:K177" si="30">IF(J$20, $H106, $H103)</f>
        <v>0.73685290844250551</v>
      </c>
      <c r="K177" s="154">
        <f t="shared" si="30"/>
        <v>0.73685290844250551</v>
      </c>
      <c r="L177" s="154">
        <f t="shared" ref="L177:M177" si="31">IF(L$20, $H106, $H103)</f>
        <v>0.73685290844250551</v>
      </c>
      <c r="M177" s="154">
        <f t="shared" si="31"/>
        <v>0.73685290844250551</v>
      </c>
      <c r="N177" s="154">
        <f t="shared" ref="N177:P177" si="32">IF(N$20, $H106, $H103)</f>
        <v>0.73685290844250551</v>
      </c>
      <c r="O177" s="154">
        <f t="shared" si="32"/>
        <v>0.73685290844250551</v>
      </c>
      <c r="P177" s="154">
        <f t="shared" si="32"/>
        <v>0.73685290844250551</v>
      </c>
      <c r="Q177" s="154">
        <f t="shared" ref="Q177:S177" si="33">IF(Q$20, $H106, $H103)</f>
        <v>0.73685290844250551</v>
      </c>
      <c r="R177" s="154">
        <f t="shared" si="33"/>
        <v>0.73685290844250551</v>
      </c>
      <c r="S177" s="154">
        <f t="shared" si="33"/>
        <v>0.73685290844250551</v>
      </c>
      <c r="T177" s="154">
        <f t="shared" ref="T177:V177" si="34">IF(T$20, $H106, $H103)</f>
        <v>0.67055113994438198</v>
      </c>
      <c r="U177" s="154">
        <f t="shared" si="34"/>
        <v>0.73685290844250551</v>
      </c>
      <c r="V177" s="154">
        <f t="shared" si="34"/>
        <v>0.73685290844250551</v>
      </c>
      <c r="W177" s="154">
        <f t="shared" ref="W177:X177" si="35">IF(W$20, $H106, $H103)</f>
        <v>0.73685290844250551</v>
      </c>
      <c r="X177" s="154">
        <f t="shared" si="35"/>
        <v>0.73685290844250551</v>
      </c>
      <c r="Y177" s="154">
        <f t="shared" ref="Y177:Z177" si="36">IF(Y$20, $H106, $H103)</f>
        <v>0.73685290844250551</v>
      </c>
      <c r="Z177" s="154">
        <f t="shared" si="36"/>
        <v>0.73685290844250551</v>
      </c>
      <c r="AA177" s="154">
        <f t="shared" ref="AA177:AB177" si="37">IF(AA$20, $H106, $H103)</f>
        <v>0.73685290844250551</v>
      </c>
      <c r="AB177" s="154">
        <f t="shared" si="37"/>
        <v>0.73685290844250551</v>
      </c>
    </row>
    <row r="178" spans="5:28" x14ac:dyDescent="0.25">
      <c r="E178" s="29"/>
      <c r="F178" s="72" t="s">
        <v>465</v>
      </c>
      <c r="G178" s="28" t="s">
        <v>166</v>
      </c>
      <c r="H178" s="25"/>
      <c r="J178" s="145">
        <f t="shared" ref="J178:K178" si="38">IF(J$20, $H107, $H104)</f>
        <v>0.25763649230764868</v>
      </c>
      <c r="K178" s="145">
        <f t="shared" si="38"/>
        <v>0.25763649230764868</v>
      </c>
      <c r="L178" s="145">
        <f t="shared" ref="L178:M178" si="39">IF(L$20, $H107, $H104)</f>
        <v>0.25763649230764868</v>
      </c>
      <c r="M178" s="145">
        <f t="shared" si="39"/>
        <v>0.25763649230764868</v>
      </c>
      <c r="N178" s="145">
        <f t="shared" ref="N178:P178" si="40">IF(N$20, $H107, $H104)</f>
        <v>0.25763649230764868</v>
      </c>
      <c r="O178" s="145">
        <f t="shared" si="40"/>
        <v>0.25763649230764868</v>
      </c>
      <c r="P178" s="145">
        <f t="shared" si="40"/>
        <v>0.25763649230764868</v>
      </c>
      <c r="Q178" s="145">
        <f t="shared" ref="Q178:S178" si="41">IF(Q$20, $H107, $H104)</f>
        <v>0.25763649230764868</v>
      </c>
      <c r="R178" s="145">
        <f t="shared" si="41"/>
        <v>0.25763649230764868</v>
      </c>
      <c r="S178" s="145">
        <f t="shared" si="41"/>
        <v>0.25763649230764868</v>
      </c>
      <c r="T178" s="145">
        <f t="shared" ref="T178:V178" si="42">IF(T$20, $H107, $H104)</f>
        <v>0.32393826080577215</v>
      </c>
      <c r="U178" s="145">
        <f t="shared" si="42"/>
        <v>0.25763649230764868</v>
      </c>
      <c r="V178" s="145">
        <f t="shared" si="42"/>
        <v>0.25763649230764868</v>
      </c>
      <c r="W178" s="145">
        <f t="shared" ref="W178:X178" si="43">IF(W$20, $H107, $H104)</f>
        <v>0.25763649230764868</v>
      </c>
      <c r="X178" s="145">
        <f t="shared" si="43"/>
        <v>0.25763649230764868</v>
      </c>
      <c r="Y178" s="145">
        <f t="shared" ref="Y178:Z178" si="44">IF(Y$20, $H107, $H104)</f>
        <v>0.25763649230764868</v>
      </c>
      <c r="Z178" s="145">
        <f t="shared" si="44"/>
        <v>0.25763649230764868</v>
      </c>
      <c r="AA178" s="145">
        <f t="shared" ref="AA178:AB178" si="45">IF(AA$20, $H107, $H104)</f>
        <v>0.25763649230764868</v>
      </c>
      <c r="AB178" s="145">
        <f t="shared" si="45"/>
        <v>0.25763649230764868</v>
      </c>
    </row>
    <row r="179" spans="5:28" x14ac:dyDescent="0.25">
      <c r="E179" s="29"/>
      <c r="F179" s="80" t="s">
        <v>256</v>
      </c>
      <c r="G179" s="67" t="s">
        <v>166</v>
      </c>
      <c r="H179" s="141"/>
      <c r="I179" s="37"/>
      <c r="J179" s="155">
        <f t="shared" ref="J179:K179" si="46">IF(J$20, $H108, $H105)</f>
        <v>5.5105992498457714E-3</v>
      </c>
      <c r="K179" s="155">
        <f t="shared" si="46"/>
        <v>5.5105992498457714E-3</v>
      </c>
      <c r="L179" s="155">
        <f t="shared" ref="L179:M179" si="47">IF(L$20, $H108, $H105)</f>
        <v>5.5105992498457714E-3</v>
      </c>
      <c r="M179" s="155">
        <f t="shared" si="47"/>
        <v>5.5105992498457714E-3</v>
      </c>
      <c r="N179" s="155">
        <f t="shared" ref="N179:P179" si="48">IF(N$20, $H108, $H105)</f>
        <v>5.5105992498457714E-3</v>
      </c>
      <c r="O179" s="155">
        <f t="shared" si="48"/>
        <v>5.5105992498457714E-3</v>
      </c>
      <c r="P179" s="155">
        <f t="shared" si="48"/>
        <v>5.5105992498457714E-3</v>
      </c>
      <c r="Q179" s="155">
        <f t="shared" ref="Q179:S179" si="49">IF(Q$20, $H108, $H105)</f>
        <v>5.5105992498457714E-3</v>
      </c>
      <c r="R179" s="155">
        <f t="shared" si="49"/>
        <v>5.5105992498457714E-3</v>
      </c>
      <c r="S179" s="155">
        <f t="shared" si="49"/>
        <v>5.5105992498457714E-3</v>
      </c>
      <c r="T179" s="155">
        <f t="shared" ref="T179:V179" si="50">IF(T$20, $H108, $H105)</f>
        <v>5.5105992498457714E-3</v>
      </c>
      <c r="U179" s="155">
        <f t="shared" si="50"/>
        <v>5.5105992498457714E-3</v>
      </c>
      <c r="V179" s="155">
        <f t="shared" si="50"/>
        <v>5.5105992498457714E-3</v>
      </c>
      <c r="W179" s="155">
        <f t="shared" ref="W179:X179" si="51">IF(W$20, $H108, $H105)</f>
        <v>5.5105992498457714E-3</v>
      </c>
      <c r="X179" s="155">
        <f t="shared" si="51"/>
        <v>5.5105992498457714E-3</v>
      </c>
      <c r="Y179" s="155">
        <f t="shared" ref="Y179:Z179" si="52">IF(Y$20, $H108, $H105)</f>
        <v>5.5105992498457714E-3</v>
      </c>
      <c r="Z179" s="155">
        <f t="shared" si="52"/>
        <v>5.5105992498457714E-3</v>
      </c>
      <c r="AA179" s="155">
        <f t="shared" ref="AA179:AB179" si="53">IF(AA$20, $H108, $H105)</f>
        <v>5.5105992498457714E-3</v>
      </c>
      <c r="AB179" s="155">
        <f t="shared" si="53"/>
        <v>5.5105992498457714E-3</v>
      </c>
    </row>
    <row r="180" spans="5:28" x14ac:dyDescent="0.25">
      <c r="E180" s="29"/>
      <c r="F180" s="72"/>
      <c r="G180" s="28"/>
      <c r="H180" s="25"/>
      <c r="J180" s="145"/>
      <c r="K180" s="145"/>
      <c r="L180" s="145"/>
      <c r="M180" s="145"/>
      <c r="N180" s="145"/>
      <c r="O180" s="145"/>
      <c r="P180" s="145"/>
      <c r="Q180" s="145"/>
      <c r="R180" s="145"/>
      <c r="S180" s="145"/>
      <c r="T180" s="145"/>
      <c r="U180" s="145"/>
      <c r="V180" s="145"/>
      <c r="W180" s="145"/>
      <c r="X180" s="145"/>
      <c r="Y180" s="145"/>
      <c r="Z180" s="145"/>
      <c r="AA180" s="145"/>
      <c r="AB180" s="145"/>
    </row>
    <row r="181" spans="5:28" x14ac:dyDescent="0.25">
      <c r="E181" s="32" t="s">
        <v>479</v>
      </c>
      <c r="G181" s="28"/>
    </row>
    <row r="182" spans="5:28" x14ac:dyDescent="0.25">
      <c r="E182" s="29"/>
      <c r="F182" s="78" t="s">
        <v>464</v>
      </c>
      <c r="G182" s="64" t="s">
        <v>166</v>
      </c>
      <c r="H182" s="107"/>
      <c r="I182" s="23"/>
      <c r="J182" s="154">
        <f t="shared" ref="J182:K182" si="54">IF(J$20, $H114, $H111)</f>
        <v>0</v>
      </c>
      <c r="K182" s="154">
        <f t="shared" si="54"/>
        <v>0</v>
      </c>
      <c r="L182" s="154">
        <f t="shared" ref="L182:M182" si="55">IF(L$20, $H114, $H111)</f>
        <v>0</v>
      </c>
      <c r="M182" s="154">
        <f t="shared" si="55"/>
        <v>0</v>
      </c>
      <c r="N182" s="154">
        <f t="shared" ref="N182:P182" si="56">IF(N$20, $H114, $H111)</f>
        <v>0</v>
      </c>
      <c r="O182" s="154">
        <f t="shared" si="56"/>
        <v>0</v>
      </c>
      <c r="P182" s="154">
        <f t="shared" si="56"/>
        <v>0</v>
      </c>
      <c r="Q182" s="154">
        <f t="shared" ref="Q182:S182" si="57">IF(Q$20, $H114, $H111)</f>
        <v>0</v>
      </c>
      <c r="R182" s="154">
        <f t="shared" si="57"/>
        <v>0</v>
      </c>
      <c r="S182" s="154">
        <f t="shared" si="57"/>
        <v>0</v>
      </c>
      <c r="T182" s="154">
        <f t="shared" ref="T182:V182" si="58">IF(T$20, $H114, $H111)</f>
        <v>0</v>
      </c>
      <c r="U182" s="154">
        <f t="shared" si="58"/>
        <v>0</v>
      </c>
      <c r="V182" s="154">
        <f t="shared" si="58"/>
        <v>0</v>
      </c>
      <c r="W182" s="154">
        <f t="shared" ref="W182:X182" si="59">IF(W$20, $H114, $H111)</f>
        <v>0</v>
      </c>
      <c r="X182" s="154">
        <f t="shared" si="59"/>
        <v>0</v>
      </c>
      <c r="Y182" s="154">
        <f t="shared" ref="Y182:Z182" si="60">IF(Y$20, $H114, $H111)</f>
        <v>0</v>
      </c>
      <c r="Z182" s="154">
        <f t="shared" si="60"/>
        <v>0</v>
      </c>
      <c r="AA182" s="154">
        <f t="shared" ref="AA182:AB182" si="61">IF(AA$20, $H114, $H111)</f>
        <v>0</v>
      </c>
      <c r="AB182" s="154">
        <f t="shared" si="61"/>
        <v>0</v>
      </c>
    </row>
    <row r="183" spans="5:28" x14ac:dyDescent="0.25">
      <c r="E183" s="29"/>
      <c r="F183" s="72" t="s">
        <v>465</v>
      </c>
      <c r="G183" s="28" t="s">
        <v>166</v>
      </c>
      <c r="H183" s="25"/>
      <c r="J183" s="145">
        <f t="shared" ref="J183:K183" si="62">IF(J$20, $H115, $H112)</f>
        <v>0</v>
      </c>
      <c r="K183" s="145">
        <f t="shared" si="62"/>
        <v>0</v>
      </c>
      <c r="L183" s="145">
        <f t="shared" ref="L183:M183" si="63">IF(L$20, $H115, $H112)</f>
        <v>0</v>
      </c>
      <c r="M183" s="145">
        <f t="shared" si="63"/>
        <v>0</v>
      </c>
      <c r="N183" s="145">
        <f t="shared" ref="N183:P183" si="64">IF(N$20, $H115, $H112)</f>
        <v>0</v>
      </c>
      <c r="O183" s="145">
        <f t="shared" si="64"/>
        <v>0</v>
      </c>
      <c r="P183" s="145">
        <f t="shared" si="64"/>
        <v>0</v>
      </c>
      <c r="Q183" s="145">
        <f t="shared" ref="Q183:S183" si="65">IF(Q$20, $H115, $H112)</f>
        <v>0</v>
      </c>
      <c r="R183" s="145">
        <f t="shared" si="65"/>
        <v>0</v>
      </c>
      <c r="S183" s="145">
        <f t="shared" si="65"/>
        <v>0</v>
      </c>
      <c r="T183" s="145">
        <f t="shared" ref="T183:V183" si="66">IF(T$20, $H115, $H112)</f>
        <v>0</v>
      </c>
      <c r="U183" s="145">
        <f t="shared" si="66"/>
        <v>0</v>
      </c>
      <c r="V183" s="145">
        <f t="shared" si="66"/>
        <v>0</v>
      </c>
      <c r="W183" s="145">
        <f t="shared" ref="W183:X183" si="67">IF(W$20, $H115, $H112)</f>
        <v>0</v>
      </c>
      <c r="X183" s="145">
        <f t="shared" si="67"/>
        <v>0</v>
      </c>
      <c r="Y183" s="145">
        <f t="shared" ref="Y183:Z183" si="68">IF(Y$20, $H115, $H112)</f>
        <v>0</v>
      </c>
      <c r="Z183" s="145">
        <f t="shared" si="68"/>
        <v>0</v>
      </c>
      <c r="AA183" s="145">
        <f t="shared" ref="AA183:AB183" si="69">IF(AA$20, $H115, $H112)</f>
        <v>0</v>
      </c>
      <c r="AB183" s="145">
        <f t="shared" si="69"/>
        <v>0</v>
      </c>
    </row>
    <row r="184" spans="5:28" x14ac:dyDescent="0.25">
      <c r="E184" s="29"/>
      <c r="F184" s="80" t="s">
        <v>256</v>
      </c>
      <c r="G184" s="67" t="s">
        <v>166</v>
      </c>
      <c r="H184" s="141"/>
      <c r="I184" s="37"/>
      <c r="J184" s="155">
        <f t="shared" ref="J184:K184" si="70">IF(J$20, $H116, $H113)</f>
        <v>0</v>
      </c>
      <c r="K184" s="155">
        <f t="shared" si="70"/>
        <v>0</v>
      </c>
      <c r="L184" s="155">
        <f t="shared" ref="L184:M184" si="71">IF(L$20, $H116, $H113)</f>
        <v>0</v>
      </c>
      <c r="M184" s="155">
        <f t="shared" si="71"/>
        <v>0</v>
      </c>
      <c r="N184" s="155">
        <f t="shared" ref="N184:P184" si="72">IF(N$20, $H116, $H113)</f>
        <v>0</v>
      </c>
      <c r="O184" s="155">
        <f t="shared" si="72"/>
        <v>0</v>
      </c>
      <c r="P184" s="155">
        <f t="shared" si="72"/>
        <v>0</v>
      </c>
      <c r="Q184" s="155">
        <f t="shared" ref="Q184:S184" si="73">IF(Q$20, $H116, $H113)</f>
        <v>0</v>
      </c>
      <c r="R184" s="155">
        <f t="shared" si="73"/>
        <v>0</v>
      </c>
      <c r="S184" s="155">
        <f t="shared" si="73"/>
        <v>0</v>
      </c>
      <c r="T184" s="155">
        <f t="shared" ref="T184:V184" si="74">IF(T$20, $H116, $H113)</f>
        <v>0</v>
      </c>
      <c r="U184" s="155">
        <f t="shared" si="74"/>
        <v>0</v>
      </c>
      <c r="V184" s="155">
        <f t="shared" si="74"/>
        <v>0</v>
      </c>
      <c r="W184" s="155">
        <f t="shared" ref="W184:X184" si="75">IF(W$20, $H116, $H113)</f>
        <v>0</v>
      </c>
      <c r="X184" s="155">
        <f t="shared" si="75"/>
        <v>0</v>
      </c>
      <c r="Y184" s="155">
        <f t="shared" ref="Y184:Z184" si="76">IF(Y$20, $H116, $H113)</f>
        <v>0</v>
      </c>
      <c r="Z184" s="155">
        <f t="shared" si="76"/>
        <v>0</v>
      </c>
      <c r="AA184" s="155">
        <f t="shared" ref="AA184:AB184" si="77">IF(AA$20, $H116, $H113)</f>
        <v>0</v>
      </c>
      <c r="AB184" s="155">
        <f t="shared" si="77"/>
        <v>0</v>
      </c>
    </row>
    <row r="185" spans="5:28" x14ac:dyDescent="0.25">
      <c r="E185" s="29"/>
      <c r="F185" s="72"/>
      <c r="G185" s="28"/>
      <c r="H185" s="25"/>
      <c r="J185" s="145"/>
      <c r="K185" s="145"/>
      <c r="L185" s="145"/>
      <c r="M185" s="145"/>
      <c r="N185" s="145"/>
      <c r="O185" s="145"/>
      <c r="P185" s="145"/>
      <c r="Q185" s="145"/>
      <c r="R185" s="145"/>
      <c r="S185" s="145"/>
      <c r="T185" s="145"/>
      <c r="U185" s="145"/>
      <c r="V185" s="145"/>
      <c r="W185" s="145"/>
      <c r="X185" s="145"/>
      <c r="Y185" s="145"/>
      <c r="Z185" s="145"/>
      <c r="AA185" s="145"/>
      <c r="AB185" s="145"/>
    </row>
    <row r="186" spans="5:28" x14ac:dyDescent="0.25">
      <c r="E186" s="32" t="s">
        <v>480</v>
      </c>
      <c r="G186" s="28"/>
    </row>
    <row r="187" spans="5:28" x14ac:dyDescent="0.25">
      <c r="E187" s="29"/>
      <c r="F187" s="78" t="s">
        <v>464</v>
      </c>
      <c r="G187" s="64" t="s">
        <v>166</v>
      </c>
      <c r="H187" s="107"/>
      <c r="I187" s="23"/>
      <c r="J187" s="154">
        <f t="shared" ref="J187:K187" si="78">IF(J$20, $H122, $H119)</f>
        <v>0</v>
      </c>
      <c r="K187" s="154">
        <f t="shared" si="78"/>
        <v>0</v>
      </c>
      <c r="L187" s="154">
        <f t="shared" ref="L187:M187" si="79">IF(L$20, $H122, $H119)</f>
        <v>0</v>
      </c>
      <c r="M187" s="154">
        <f t="shared" si="79"/>
        <v>0</v>
      </c>
      <c r="N187" s="154">
        <f t="shared" ref="N187:P187" si="80">IF(N$20, $H122, $H119)</f>
        <v>0</v>
      </c>
      <c r="O187" s="154">
        <f t="shared" si="80"/>
        <v>0</v>
      </c>
      <c r="P187" s="154">
        <f t="shared" si="80"/>
        <v>0</v>
      </c>
      <c r="Q187" s="154">
        <f t="shared" ref="Q187:S187" si="81">IF(Q$20, $H122, $H119)</f>
        <v>0</v>
      </c>
      <c r="R187" s="154">
        <f t="shared" si="81"/>
        <v>0</v>
      </c>
      <c r="S187" s="154">
        <f t="shared" si="81"/>
        <v>0</v>
      </c>
      <c r="T187" s="154">
        <f t="shared" ref="T187:V187" si="82">IF(T$20, $H122, $H119)</f>
        <v>0</v>
      </c>
      <c r="U187" s="154">
        <f t="shared" si="82"/>
        <v>0</v>
      </c>
      <c r="V187" s="154">
        <f t="shared" si="82"/>
        <v>0</v>
      </c>
      <c r="W187" s="154">
        <f t="shared" ref="W187:X187" si="83">IF(W$20, $H122, $H119)</f>
        <v>0</v>
      </c>
      <c r="X187" s="154">
        <f t="shared" si="83"/>
        <v>0</v>
      </c>
      <c r="Y187" s="154">
        <f t="shared" ref="Y187:Z187" si="84">IF(Y$20, $H122, $H119)</f>
        <v>0</v>
      </c>
      <c r="Z187" s="154">
        <f t="shared" si="84"/>
        <v>0</v>
      </c>
      <c r="AA187" s="154">
        <f t="shared" ref="AA187:AB187" si="85">IF(AA$20, $H122, $H119)</f>
        <v>0</v>
      </c>
      <c r="AB187" s="154">
        <f t="shared" si="85"/>
        <v>0</v>
      </c>
    </row>
    <row r="188" spans="5:28" x14ac:dyDescent="0.25">
      <c r="E188" s="29"/>
      <c r="F188" s="72" t="s">
        <v>465</v>
      </c>
      <c r="G188" s="28" t="s">
        <v>166</v>
      </c>
      <c r="H188" s="25"/>
      <c r="J188" s="145">
        <f t="shared" ref="J188:K188" si="86">IF(J$20, $H123, $H120)</f>
        <v>0</v>
      </c>
      <c r="K188" s="145">
        <f t="shared" si="86"/>
        <v>0</v>
      </c>
      <c r="L188" s="145">
        <f t="shared" ref="L188:M188" si="87">IF(L$20, $H123, $H120)</f>
        <v>0</v>
      </c>
      <c r="M188" s="145">
        <f t="shared" si="87"/>
        <v>0</v>
      </c>
      <c r="N188" s="145">
        <f t="shared" ref="N188:P188" si="88">IF(N$20, $H123, $H120)</f>
        <v>0</v>
      </c>
      <c r="O188" s="145">
        <f t="shared" si="88"/>
        <v>0</v>
      </c>
      <c r="P188" s="145">
        <f t="shared" si="88"/>
        <v>0</v>
      </c>
      <c r="Q188" s="145">
        <f t="shared" ref="Q188:S188" si="89">IF(Q$20, $H123, $H120)</f>
        <v>0</v>
      </c>
      <c r="R188" s="145">
        <f t="shared" si="89"/>
        <v>0</v>
      </c>
      <c r="S188" s="145">
        <f t="shared" si="89"/>
        <v>0</v>
      </c>
      <c r="T188" s="145">
        <f t="shared" ref="T188:V188" si="90">IF(T$20, $H123, $H120)</f>
        <v>0</v>
      </c>
      <c r="U188" s="145">
        <f t="shared" si="90"/>
        <v>0</v>
      </c>
      <c r="V188" s="145">
        <f t="shared" si="90"/>
        <v>0</v>
      </c>
      <c r="W188" s="145">
        <f t="shared" ref="W188:X188" si="91">IF(W$20, $H123, $H120)</f>
        <v>0</v>
      </c>
      <c r="X188" s="145">
        <f t="shared" si="91"/>
        <v>0</v>
      </c>
      <c r="Y188" s="145">
        <f t="shared" ref="Y188:Z188" si="92">IF(Y$20, $H123, $H120)</f>
        <v>0</v>
      </c>
      <c r="Z188" s="145">
        <f t="shared" si="92"/>
        <v>0</v>
      </c>
      <c r="AA188" s="145">
        <f t="shared" ref="AA188:AB188" si="93">IF(AA$20, $H123, $H120)</f>
        <v>0</v>
      </c>
      <c r="AB188" s="145">
        <f t="shared" si="93"/>
        <v>0</v>
      </c>
    </row>
    <row r="189" spans="5:28" x14ac:dyDescent="0.25">
      <c r="E189" s="29"/>
      <c r="F189" s="80" t="s">
        <v>256</v>
      </c>
      <c r="G189" s="67" t="s">
        <v>166</v>
      </c>
      <c r="H189" s="141"/>
      <c r="I189" s="37"/>
      <c r="J189" s="155">
        <f t="shared" ref="J189:K189" si="94">IF(J$20, $H124, $H121)</f>
        <v>0</v>
      </c>
      <c r="K189" s="155">
        <f t="shared" si="94"/>
        <v>0</v>
      </c>
      <c r="L189" s="155">
        <f t="shared" ref="L189:M189" si="95">IF(L$20, $H124, $H121)</f>
        <v>0</v>
      </c>
      <c r="M189" s="155">
        <f t="shared" si="95"/>
        <v>0</v>
      </c>
      <c r="N189" s="155">
        <f t="shared" ref="N189:P189" si="96">IF(N$20, $H124, $H121)</f>
        <v>0</v>
      </c>
      <c r="O189" s="155">
        <f t="shared" si="96"/>
        <v>0</v>
      </c>
      <c r="P189" s="155">
        <f t="shared" si="96"/>
        <v>0</v>
      </c>
      <c r="Q189" s="155">
        <f t="shared" ref="Q189:S189" si="97">IF(Q$20, $H124, $H121)</f>
        <v>0</v>
      </c>
      <c r="R189" s="155">
        <f t="shared" si="97"/>
        <v>0</v>
      </c>
      <c r="S189" s="155">
        <f t="shared" si="97"/>
        <v>0</v>
      </c>
      <c r="T189" s="155">
        <f t="shared" ref="T189:V189" si="98">IF(T$20, $H124, $H121)</f>
        <v>0</v>
      </c>
      <c r="U189" s="155">
        <f t="shared" si="98"/>
        <v>0</v>
      </c>
      <c r="V189" s="155">
        <f t="shared" si="98"/>
        <v>0</v>
      </c>
      <c r="W189" s="155">
        <f t="shared" ref="W189:X189" si="99">IF(W$20, $H124, $H121)</f>
        <v>0</v>
      </c>
      <c r="X189" s="155">
        <f t="shared" si="99"/>
        <v>0</v>
      </c>
      <c r="Y189" s="155">
        <f t="shared" ref="Y189:Z189" si="100">IF(Y$20, $H124, $H121)</f>
        <v>0</v>
      </c>
      <c r="Z189" s="155">
        <f t="shared" si="100"/>
        <v>0</v>
      </c>
      <c r="AA189" s="155">
        <f t="shared" ref="AA189:AB189" si="101">IF(AA$20, $H124, $H121)</f>
        <v>0</v>
      </c>
      <c r="AB189" s="155">
        <f t="shared" si="101"/>
        <v>0</v>
      </c>
    </row>
    <row r="190" spans="5:28" x14ac:dyDescent="0.25">
      <c r="E190" s="29"/>
      <c r="F190" s="72"/>
      <c r="G190" s="28"/>
      <c r="H190" s="25"/>
      <c r="J190" s="145"/>
      <c r="K190" s="145"/>
      <c r="L190" s="145"/>
      <c r="M190" s="145"/>
      <c r="N190" s="145"/>
      <c r="O190" s="145"/>
      <c r="P190" s="145"/>
      <c r="Q190" s="145"/>
      <c r="R190" s="145"/>
      <c r="S190" s="145"/>
      <c r="T190" s="145"/>
      <c r="U190" s="145"/>
      <c r="V190" s="145"/>
      <c r="W190" s="145"/>
      <c r="X190" s="145"/>
      <c r="Y190" s="145"/>
      <c r="Z190" s="145"/>
      <c r="AA190" s="145"/>
      <c r="AB190" s="145"/>
    </row>
    <row r="191" spans="5:28" x14ac:dyDescent="0.25">
      <c r="E191" s="32" t="s">
        <v>481</v>
      </c>
      <c r="G191" s="28"/>
    </row>
    <row r="192" spans="5:28" x14ac:dyDescent="0.25">
      <c r="E192" s="29"/>
      <c r="F192" s="78" t="s">
        <v>464</v>
      </c>
      <c r="G192" s="64" t="s">
        <v>166</v>
      </c>
      <c r="H192" s="107"/>
      <c r="I192" s="23"/>
      <c r="J192" s="154">
        <f t="shared" ref="J192:K192" si="102">IF(J$20, $H130, $H127)</f>
        <v>0.73685290844250551</v>
      </c>
      <c r="K192" s="154">
        <f t="shared" si="102"/>
        <v>0.73685290844250551</v>
      </c>
      <c r="L192" s="154">
        <f t="shared" ref="L192:M192" si="103">IF(L$20, $H130, $H127)</f>
        <v>0.73685290844250551</v>
      </c>
      <c r="M192" s="154">
        <f t="shared" si="103"/>
        <v>0.73685290844250551</v>
      </c>
      <c r="N192" s="154">
        <f t="shared" ref="N192:P192" si="104">IF(N$20, $H130, $H127)</f>
        <v>0.73685290844250551</v>
      </c>
      <c r="O192" s="154">
        <f t="shared" si="104"/>
        <v>0.73685290844250551</v>
      </c>
      <c r="P192" s="154">
        <f t="shared" si="104"/>
        <v>0.73685290844250551</v>
      </c>
      <c r="Q192" s="154">
        <f t="shared" ref="Q192:S192" si="105">IF(Q$20, $H130, $H127)</f>
        <v>0.73685290844250551</v>
      </c>
      <c r="R192" s="154">
        <f t="shared" si="105"/>
        <v>0.73685290844250551</v>
      </c>
      <c r="S192" s="154">
        <f t="shared" si="105"/>
        <v>0.73685290844250551</v>
      </c>
      <c r="T192" s="154">
        <f t="shared" ref="T192:V192" si="106">IF(T$20, $H130, $H127)</f>
        <v>0.67055113994438198</v>
      </c>
      <c r="U192" s="154">
        <f t="shared" si="106"/>
        <v>0.73685290844250551</v>
      </c>
      <c r="V192" s="154">
        <f t="shared" si="106"/>
        <v>0.73685290844250551</v>
      </c>
      <c r="W192" s="154">
        <f t="shared" ref="W192:X192" si="107">IF(W$20, $H130, $H127)</f>
        <v>0.73685290844250551</v>
      </c>
      <c r="X192" s="154">
        <f t="shared" si="107"/>
        <v>0.73685290844250551</v>
      </c>
      <c r="Y192" s="154">
        <f t="shared" ref="Y192:Z192" si="108">IF(Y$20, $H130, $H127)</f>
        <v>0.73685290844250551</v>
      </c>
      <c r="Z192" s="154">
        <f t="shared" si="108"/>
        <v>0.73685290844250551</v>
      </c>
      <c r="AA192" s="154">
        <f t="shared" ref="AA192:AB192" si="109">IF(AA$20, $H130, $H127)</f>
        <v>0.73685290844250551</v>
      </c>
      <c r="AB192" s="154">
        <f t="shared" si="109"/>
        <v>0.73685290844250551</v>
      </c>
    </row>
    <row r="193" spans="5:28" x14ac:dyDescent="0.25">
      <c r="E193" s="29"/>
      <c r="F193" s="72" t="s">
        <v>465</v>
      </c>
      <c r="G193" s="28" t="s">
        <v>166</v>
      </c>
      <c r="H193" s="25"/>
      <c r="J193" s="145">
        <f t="shared" ref="J193:K193" si="110">IF(J$20, $H131, $H128)</f>
        <v>0.25763649230764868</v>
      </c>
      <c r="K193" s="145">
        <f t="shared" si="110"/>
        <v>0.25763649230764868</v>
      </c>
      <c r="L193" s="145">
        <f t="shared" ref="L193:M193" si="111">IF(L$20, $H131, $H128)</f>
        <v>0.25763649230764868</v>
      </c>
      <c r="M193" s="145">
        <f t="shared" si="111"/>
        <v>0.25763649230764868</v>
      </c>
      <c r="N193" s="145">
        <f t="shared" ref="N193:P193" si="112">IF(N$20, $H131, $H128)</f>
        <v>0.25763649230764868</v>
      </c>
      <c r="O193" s="145">
        <f t="shared" si="112"/>
        <v>0.25763649230764868</v>
      </c>
      <c r="P193" s="145">
        <f t="shared" si="112"/>
        <v>0.25763649230764868</v>
      </c>
      <c r="Q193" s="145">
        <f t="shared" ref="Q193:S193" si="113">IF(Q$20, $H131, $H128)</f>
        <v>0.25763649230764868</v>
      </c>
      <c r="R193" s="145">
        <f t="shared" si="113"/>
        <v>0.25763649230764868</v>
      </c>
      <c r="S193" s="145">
        <f t="shared" si="113"/>
        <v>0.25763649230764868</v>
      </c>
      <c r="T193" s="145">
        <f t="shared" ref="T193:V193" si="114">IF(T$20, $H131, $H128)</f>
        <v>0.32393826080577215</v>
      </c>
      <c r="U193" s="145">
        <f t="shared" si="114"/>
        <v>0.25763649230764868</v>
      </c>
      <c r="V193" s="145">
        <f t="shared" si="114"/>
        <v>0.25763649230764868</v>
      </c>
      <c r="W193" s="145">
        <f t="shared" ref="W193:X193" si="115">IF(W$20, $H131, $H128)</f>
        <v>0.25763649230764868</v>
      </c>
      <c r="X193" s="145">
        <f t="shared" si="115"/>
        <v>0.25763649230764868</v>
      </c>
      <c r="Y193" s="145">
        <f t="shared" ref="Y193:Z193" si="116">IF(Y$20, $H131, $H128)</f>
        <v>0.25763649230764868</v>
      </c>
      <c r="Z193" s="145">
        <f t="shared" si="116"/>
        <v>0.25763649230764868</v>
      </c>
      <c r="AA193" s="145">
        <f t="shared" ref="AA193:AB193" si="117">IF(AA$20, $H131, $H128)</f>
        <v>0.25763649230764868</v>
      </c>
      <c r="AB193" s="145">
        <f t="shared" si="117"/>
        <v>0.25763649230764868</v>
      </c>
    </row>
    <row r="194" spans="5:28" x14ac:dyDescent="0.25">
      <c r="E194" s="29"/>
      <c r="F194" s="80" t="s">
        <v>256</v>
      </c>
      <c r="G194" s="67" t="s">
        <v>166</v>
      </c>
      <c r="H194" s="141"/>
      <c r="I194" s="37"/>
      <c r="J194" s="155">
        <f t="shared" ref="J194:K194" si="118">IF(J$20, $H132, $H129)</f>
        <v>5.5105992498457714E-3</v>
      </c>
      <c r="K194" s="155">
        <f t="shared" si="118"/>
        <v>5.5105992498457714E-3</v>
      </c>
      <c r="L194" s="155">
        <f t="shared" ref="L194:M194" si="119">IF(L$20, $H132, $H129)</f>
        <v>5.5105992498457714E-3</v>
      </c>
      <c r="M194" s="155">
        <f t="shared" si="119"/>
        <v>5.5105992498457714E-3</v>
      </c>
      <c r="N194" s="155">
        <f t="shared" ref="N194:P194" si="120">IF(N$20, $H132, $H129)</f>
        <v>5.5105992498457714E-3</v>
      </c>
      <c r="O194" s="155">
        <f t="shared" si="120"/>
        <v>5.5105992498457714E-3</v>
      </c>
      <c r="P194" s="155">
        <f t="shared" si="120"/>
        <v>5.5105992498457714E-3</v>
      </c>
      <c r="Q194" s="155">
        <f t="shared" ref="Q194:S194" si="121">IF(Q$20, $H132, $H129)</f>
        <v>5.5105992498457714E-3</v>
      </c>
      <c r="R194" s="155">
        <f t="shared" si="121"/>
        <v>5.5105992498457714E-3</v>
      </c>
      <c r="S194" s="155">
        <f t="shared" si="121"/>
        <v>5.5105992498457714E-3</v>
      </c>
      <c r="T194" s="155">
        <f t="shared" ref="T194:V194" si="122">IF(T$20, $H132, $H129)</f>
        <v>5.5105992498457714E-3</v>
      </c>
      <c r="U194" s="155">
        <f t="shared" si="122"/>
        <v>5.5105992498457714E-3</v>
      </c>
      <c r="V194" s="155">
        <f t="shared" si="122"/>
        <v>5.5105992498457714E-3</v>
      </c>
      <c r="W194" s="155">
        <f t="shared" ref="W194:X194" si="123">IF(W$20, $H132, $H129)</f>
        <v>5.5105992498457714E-3</v>
      </c>
      <c r="X194" s="155">
        <f t="shared" si="123"/>
        <v>5.5105992498457714E-3</v>
      </c>
      <c r="Y194" s="155">
        <f t="shared" ref="Y194:Z194" si="124">IF(Y$20, $H132, $H129)</f>
        <v>5.5105992498457714E-3</v>
      </c>
      <c r="Z194" s="155">
        <f t="shared" si="124"/>
        <v>5.5105992498457714E-3</v>
      </c>
      <c r="AA194" s="155">
        <f t="shared" ref="AA194:AB194" si="125">IF(AA$20, $H132, $H129)</f>
        <v>5.5105992498457714E-3</v>
      </c>
      <c r="AB194" s="155">
        <f t="shared" si="125"/>
        <v>5.5105992498457714E-3</v>
      </c>
    </row>
    <row r="195" spans="5:28" x14ac:dyDescent="0.25">
      <c r="E195" s="29"/>
      <c r="F195" s="72"/>
      <c r="G195" s="28"/>
      <c r="H195" s="25"/>
      <c r="J195" s="145"/>
      <c r="K195" s="145"/>
      <c r="L195" s="145"/>
      <c r="M195" s="145"/>
      <c r="N195" s="145"/>
      <c r="O195" s="145"/>
      <c r="P195" s="145"/>
      <c r="Q195" s="145"/>
      <c r="R195" s="145"/>
      <c r="S195" s="145"/>
      <c r="T195" s="145"/>
      <c r="U195" s="145"/>
      <c r="V195" s="145"/>
      <c r="W195" s="145"/>
      <c r="X195" s="145"/>
      <c r="Y195" s="145"/>
      <c r="Z195" s="145"/>
      <c r="AA195" s="145"/>
      <c r="AB195" s="145"/>
    </row>
    <row r="196" spans="5:28" x14ac:dyDescent="0.25">
      <c r="E196" s="32" t="s">
        <v>482</v>
      </c>
      <c r="G196" s="28"/>
    </row>
    <row r="197" spans="5:28" x14ac:dyDescent="0.25">
      <c r="E197" s="29"/>
      <c r="F197" s="78" t="s">
        <v>464</v>
      </c>
      <c r="G197" s="64" t="s">
        <v>166</v>
      </c>
      <c r="H197" s="107"/>
      <c r="I197" s="23"/>
      <c r="J197" s="154">
        <f t="shared" ref="J197:K197" si="126">IF(J$20, $H138, $H135)</f>
        <v>0.64549570804091005</v>
      </c>
      <c r="K197" s="154">
        <f t="shared" si="126"/>
        <v>0.64549570804091005</v>
      </c>
      <c r="L197" s="154">
        <f t="shared" ref="L197:M197" si="127">IF(L$20, $H138, $H135)</f>
        <v>0.64549570804091005</v>
      </c>
      <c r="M197" s="154">
        <f t="shared" si="127"/>
        <v>0.64549570804091005</v>
      </c>
      <c r="N197" s="154">
        <f t="shared" ref="N197:P197" si="128">IF(N$20, $H138, $H135)</f>
        <v>0.64549570804091005</v>
      </c>
      <c r="O197" s="154">
        <f t="shared" si="128"/>
        <v>0.64549570804091005</v>
      </c>
      <c r="P197" s="154">
        <f t="shared" si="128"/>
        <v>0.64549570804091005</v>
      </c>
      <c r="Q197" s="154">
        <f t="shared" ref="Q197:S197" si="129">IF(Q$20, $H138, $H135)</f>
        <v>0.64549570804091005</v>
      </c>
      <c r="R197" s="154">
        <f t="shared" si="129"/>
        <v>0.64549570804091005</v>
      </c>
      <c r="S197" s="154">
        <f t="shared" si="129"/>
        <v>0.64549570804091005</v>
      </c>
      <c r="T197" s="154">
        <f t="shared" ref="T197:V197" si="130">IF(T$20, $H138, $H135)</f>
        <v>0.60511449175300125</v>
      </c>
      <c r="U197" s="154">
        <f t="shared" si="130"/>
        <v>0.64549570804091005</v>
      </c>
      <c r="V197" s="154">
        <f t="shared" si="130"/>
        <v>0.64549570804091005</v>
      </c>
      <c r="W197" s="154">
        <f t="shared" ref="W197:X197" si="131">IF(W$20, $H138, $H135)</f>
        <v>0.64549570804091005</v>
      </c>
      <c r="X197" s="154">
        <f t="shared" si="131"/>
        <v>0.64549570804091005</v>
      </c>
      <c r="Y197" s="154">
        <f t="shared" ref="Y197:Z197" si="132">IF(Y$20, $H138, $H135)</f>
        <v>0.64549570804091005</v>
      </c>
      <c r="Z197" s="154">
        <f t="shared" si="132"/>
        <v>0.64549570804091005</v>
      </c>
      <c r="AA197" s="154">
        <f t="shared" ref="AA197:AB197" si="133">IF(AA$20, $H138, $H135)</f>
        <v>0.64549570804091005</v>
      </c>
      <c r="AB197" s="154">
        <f t="shared" si="133"/>
        <v>0.64549570804091005</v>
      </c>
    </row>
    <row r="198" spans="5:28" x14ac:dyDescent="0.25">
      <c r="E198" s="29"/>
      <c r="F198" s="72" t="s">
        <v>465</v>
      </c>
      <c r="G198" s="28" t="s">
        <v>166</v>
      </c>
      <c r="H198" s="25"/>
      <c r="J198" s="145">
        <f t="shared" ref="J198:K198" si="134">IF(J$20, $H139, $H136)</f>
        <v>0.33912381234136874</v>
      </c>
      <c r="K198" s="145">
        <f t="shared" si="134"/>
        <v>0.33912381234136874</v>
      </c>
      <c r="L198" s="145">
        <f t="shared" ref="L198:M198" si="135">IF(L$20, $H139, $H136)</f>
        <v>0.33912381234136874</v>
      </c>
      <c r="M198" s="145">
        <f t="shared" si="135"/>
        <v>0.33912381234136874</v>
      </c>
      <c r="N198" s="145">
        <f t="shared" ref="N198:P198" si="136">IF(N$20, $H139, $H136)</f>
        <v>0.33912381234136874</v>
      </c>
      <c r="O198" s="145">
        <f t="shared" si="136"/>
        <v>0.33912381234136874</v>
      </c>
      <c r="P198" s="145">
        <f t="shared" si="136"/>
        <v>0.33912381234136874</v>
      </c>
      <c r="Q198" s="145">
        <f t="shared" ref="Q198:S198" si="137">IF(Q$20, $H139, $H136)</f>
        <v>0.33912381234136874</v>
      </c>
      <c r="R198" s="145">
        <f t="shared" si="137"/>
        <v>0.33912381234136874</v>
      </c>
      <c r="S198" s="145">
        <f t="shared" si="137"/>
        <v>0.33912381234136874</v>
      </c>
      <c r="T198" s="145">
        <f t="shared" ref="T198:V198" si="138">IF(T$20, $H139, $H136)</f>
        <v>0.37950502862927749</v>
      </c>
      <c r="U198" s="145">
        <f t="shared" si="138"/>
        <v>0.33912381234136874</v>
      </c>
      <c r="V198" s="145">
        <f t="shared" si="138"/>
        <v>0.33912381234136874</v>
      </c>
      <c r="W198" s="145">
        <f t="shared" ref="W198:X198" si="139">IF(W$20, $H139, $H136)</f>
        <v>0.33912381234136874</v>
      </c>
      <c r="X198" s="145">
        <f t="shared" si="139"/>
        <v>0.33912381234136874</v>
      </c>
      <c r="Y198" s="145">
        <f t="shared" ref="Y198:Z198" si="140">IF(Y$20, $H139, $H136)</f>
        <v>0.33912381234136874</v>
      </c>
      <c r="Z198" s="145">
        <f t="shared" si="140"/>
        <v>0.33912381234136874</v>
      </c>
      <c r="AA198" s="145">
        <f t="shared" ref="AA198:AB198" si="141">IF(AA$20, $H139, $H136)</f>
        <v>0.33912381234136874</v>
      </c>
      <c r="AB198" s="145">
        <f t="shared" si="141"/>
        <v>0.33912381234136874</v>
      </c>
    </row>
    <row r="199" spans="5:28" x14ac:dyDescent="0.25">
      <c r="E199" s="29"/>
      <c r="F199" s="80" t="s">
        <v>256</v>
      </c>
      <c r="G199" s="67" t="s">
        <v>166</v>
      </c>
      <c r="H199" s="141"/>
      <c r="I199" s="37"/>
      <c r="J199" s="155">
        <f t="shared" ref="J199:K199" si="142">IF(J$20, $H140, $H137)</f>
        <v>1.5380479617721122E-2</v>
      </c>
      <c r="K199" s="155">
        <f t="shared" si="142"/>
        <v>1.5380479617721122E-2</v>
      </c>
      <c r="L199" s="155">
        <f t="shared" ref="L199:M199" si="143">IF(L$20, $H140, $H137)</f>
        <v>1.5380479617721122E-2</v>
      </c>
      <c r="M199" s="155">
        <f t="shared" si="143"/>
        <v>1.5380479617721122E-2</v>
      </c>
      <c r="N199" s="155">
        <f t="shared" ref="N199:P199" si="144">IF(N$20, $H140, $H137)</f>
        <v>1.5380479617721122E-2</v>
      </c>
      <c r="O199" s="155">
        <f t="shared" si="144"/>
        <v>1.5380479617721122E-2</v>
      </c>
      <c r="P199" s="155">
        <f t="shared" si="144"/>
        <v>1.5380479617721122E-2</v>
      </c>
      <c r="Q199" s="155">
        <f t="shared" ref="Q199:S199" si="145">IF(Q$20, $H140, $H137)</f>
        <v>1.5380479617721122E-2</v>
      </c>
      <c r="R199" s="155">
        <f t="shared" si="145"/>
        <v>1.5380479617721122E-2</v>
      </c>
      <c r="S199" s="155">
        <f t="shared" si="145"/>
        <v>1.5380479617721122E-2</v>
      </c>
      <c r="T199" s="155">
        <f t="shared" ref="T199:V199" si="146">IF(T$20, $H140, $H137)</f>
        <v>1.5380479617721122E-2</v>
      </c>
      <c r="U199" s="155">
        <f t="shared" si="146"/>
        <v>1.5380479617721122E-2</v>
      </c>
      <c r="V199" s="155">
        <f t="shared" si="146"/>
        <v>1.5380479617721122E-2</v>
      </c>
      <c r="W199" s="155">
        <f t="shared" ref="W199:X199" si="147">IF(W$20, $H140, $H137)</f>
        <v>1.5380479617721122E-2</v>
      </c>
      <c r="X199" s="155">
        <f t="shared" si="147"/>
        <v>1.5380479617721122E-2</v>
      </c>
      <c r="Y199" s="155">
        <f t="shared" ref="Y199:Z199" si="148">IF(Y$20, $H140, $H137)</f>
        <v>1.5380479617721122E-2</v>
      </c>
      <c r="Z199" s="155">
        <f t="shared" si="148"/>
        <v>1.5380479617721122E-2</v>
      </c>
      <c r="AA199" s="155">
        <f t="shared" ref="AA199:AB199" si="149">IF(AA$20, $H140, $H137)</f>
        <v>1.5380479617721122E-2</v>
      </c>
      <c r="AB199" s="155">
        <f t="shared" si="149"/>
        <v>1.5380479617721122E-2</v>
      </c>
    </row>
    <row r="200" spans="5:28" x14ac:dyDescent="0.25">
      <c r="E200" s="29"/>
      <c r="F200" s="72"/>
      <c r="G200" s="28"/>
      <c r="H200" s="25"/>
      <c r="J200" s="145"/>
      <c r="K200" s="145"/>
      <c r="L200" s="145"/>
      <c r="M200" s="145"/>
      <c r="N200" s="145"/>
      <c r="O200" s="145"/>
      <c r="P200" s="145"/>
      <c r="Q200" s="145"/>
      <c r="R200" s="145"/>
      <c r="S200" s="145"/>
      <c r="T200" s="145"/>
      <c r="U200" s="145"/>
      <c r="V200" s="145"/>
      <c r="W200" s="145"/>
      <c r="X200" s="145"/>
      <c r="Y200" s="145"/>
      <c r="Z200" s="145"/>
      <c r="AA200" s="145"/>
      <c r="AB200" s="145"/>
    </row>
    <row r="201" spans="5:28" x14ac:dyDescent="0.25">
      <c r="E201" s="32" t="s">
        <v>483</v>
      </c>
      <c r="G201" s="28"/>
    </row>
    <row r="202" spans="5:28" x14ac:dyDescent="0.25">
      <c r="E202" s="29"/>
      <c r="F202" s="78" t="s">
        <v>464</v>
      </c>
      <c r="G202" s="64" t="s">
        <v>166</v>
      </c>
      <c r="H202" s="107"/>
      <c r="I202" s="23"/>
      <c r="J202" s="154">
        <f t="shared" ref="J202:K202" si="150">IF(J$20, $H146, $H143)</f>
        <v>0</v>
      </c>
      <c r="K202" s="154">
        <f t="shared" si="150"/>
        <v>0</v>
      </c>
      <c r="L202" s="154">
        <f t="shared" ref="L202:M202" si="151">IF(L$20, $H146, $H143)</f>
        <v>0</v>
      </c>
      <c r="M202" s="154">
        <f t="shared" si="151"/>
        <v>0</v>
      </c>
      <c r="N202" s="154">
        <f t="shared" ref="N202:P202" si="152">IF(N$20, $H146, $H143)</f>
        <v>0</v>
      </c>
      <c r="O202" s="154">
        <f t="shared" si="152"/>
        <v>0</v>
      </c>
      <c r="P202" s="154">
        <f t="shared" si="152"/>
        <v>0</v>
      </c>
      <c r="Q202" s="154">
        <f t="shared" ref="Q202:S202" si="153">IF(Q$20, $H146, $H143)</f>
        <v>0</v>
      </c>
      <c r="R202" s="154">
        <f t="shared" si="153"/>
        <v>0</v>
      </c>
      <c r="S202" s="154">
        <f t="shared" si="153"/>
        <v>0</v>
      </c>
      <c r="T202" s="154">
        <f t="shared" ref="T202:V202" si="154">IF(T$20, $H146, $H143)</f>
        <v>0</v>
      </c>
      <c r="U202" s="154">
        <f t="shared" si="154"/>
        <v>0</v>
      </c>
      <c r="V202" s="154">
        <f t="shared" si="154"/>
        <v>0</v>
      </c>
      <c r="W202" s="154">
        <f t="shared" ref="W202:X202" si="155">IF(W$20, $H146, $H143)</f>
        <v>0</v>
      </c>
      <c r="X202" s="154">
        <f t="shared" si="155"/>
        <v>0</v>
      </c>
      <c r="Y202" s="154">
        <f t="shared" ref="Y202:Z202" si="156">IF(Y$20, $H146, $H143)</f>
        <v>0</v>
      </c>
      <c r="Z202" s="154">
        <f t="shared" si="156"/>
        <v>0</v>
      </c>
      <c r="AA202" s="154">
        <f t="shared" ref="AA202:AB202" si="157">IF(AA$20, $H146, $H143)</f>
        <v>0</v>
      </c>
      <c r="AB202" s="154">
        <f t="shared" si="157"/>
        <v>0</v>
      </c>
    </row>
    <row r="203" spans="5:28" x14ac:dyDescent="0.25">
      <c r="E203" s="29"/>
      <c r="F203" s="72" t="s">
        <v>465</v>
      </c>
      <c r="G203" s="28" t="s">
        <v>166</v>
      </c>
      <c r="H203" s="25"/>
      <c r="J203" s="145">
        <f t="shared" ref="J203:K203" si="158">IF(J$20, $H147, $H144)</f>
        <v>0</v>
      </c>
      <c r="K203" s="145">
        <f t="shared" si="158"/>
        <v>0</v>
      </c>
      <c r="L203" s="145">
        <f t="shared" ref="L203:M203" si="159">IF(L$20, $H147, $H144)</f>
        <v>0</v>
      </c>
      <c r="M203" s="145">
        <f t="shared" si="159"/>
        <v>0</v>
      </c>
      <c r="N203" s="145">
        <f t="shared" ref="N203:P203" si="160">IF(N$20, $H147, $H144)</f>
        <v>0</v>
      </c>
      <c r="O203" s="145">
        <f t="shared" si="160"/>
        <v>0</v>
      </c>
      <c r="P203" s="145">
        <f t="shared" si="160"/>
        <v>0</v>
      </c>
      <c r="Q203" s="145">
        <f t="shared" ref="Q203:S203" si="161">IF(Q$20, $H147, $H144)</f>
        <v>0</v>
      </c>
      <c r="R203" s="145">
        <f t="shared" si="161"/>
        <v>0</v>
      </c>
      <c r="S203" s="145">
        <f t="shared" si="161"/>
        <v>0</v>
      </c>
      <c r="T203" s="145">
        <f t="shared" ref="T203:V203" si="162">IF(T$20, $H147, $H144)</f>
        <v>0</v>
      </c>
      <c r="U203" s="145">
        <f t="shared" si="162"/>
        <v>0</v>
      </c>
      <c r="V203" s="145">
        <f t="shared" si="162"/>
        <v>0</v>
      </c>
      <c r="W203" s="145">
        <f t="shared" ref="W203:X203" si="163">IF(W$20, $H147, $H144)</f>
        <v>0</v>
      </c>
      <c r="X203" s="145">
        <f t="shared" si="163"/>
        <v>0</v>
      </c>
      <c r="Y203" s="145">
        <f t="shared" ref="Y203:Z203" si="164">IF(Y$20, $H147, $H144)</f>
        <v>0</v>
      </c>
      <c r="Z203" s="145">
        <f t="shared" si="164"/>
        <v>0</v>
      </c>
      <c r="AA203" s="145">
        <f t="shared" ref="AA203:AB203" si="165">IF(AA$20, $H147, $H144)</f>
        <v>0</v>
      </c>
      <c r="AB203" s="145">
        <f t="shared" si="165"/>
        <v>0</v>
      </c>
    </row>
    <row r="204" spans="5:28" x14ac:dyDescent="0.25">
      <c r="E204" s="29"/>
      <c r="F204" s="80" t="s">
        <v>256</v>
      </c>
      <c r="G204" s="67" t="s">
        <v>166</v>
      </c>
      <c r="H204" s="141"/>
      <c r="I204" s="37"/>
      <c r="J204" s="155">
        <f t="shared" ref="J204:K204" si="166">IF(J$20, $H148, $H145)</f>
        <v>0</v>
      </c>
      <c r="K204" s="155">
        <f t="shared" si="166"/>
        <v>0</v>
      </c>
      <c r="L204" s="155">
        <f t="shared" ref="L204:M204" si="167">IF(L$20, $H148, $H145)</f>
        <v>0</v>
      </c>
      <c r="M204" s="155">
        <f t="shared" si="167"/>
        <v>0</v>
      </c>
      <c r="N204" s="155">
        <f t="shared" ref="N204:P204" si="168">IF(N$20, $H148, $H145)</f>
        <v>0</v>
      </c>
      <c r="O204" s="155">
        <f t="shared" si="168"/>
        <v>0</v>
      </c>
      <c r="P204" s="155">
        <f t="shared" si="168"/>
        <v>0</v>
      </c>
      <c r="Q204" s="155">
        <f t="shared" ref="Q204:S204" si="169">IF(Q$20, $H148, $H145)</f>
        <v>0</v>
      </c>
      <c r="R204" s="155">
        <f t="shared" si="169"/>
        <v>0</v>
      </c>
      <c r="S204" s="155">
        <f t="shared" si="169"/>
        <v>0</v>
      </c>
      <c r="T204" s="155">
        <f t="shared" ref="T204:V204" si="170">IF(T$20, $H148, $H145)</f>
        <v>0</v>
      </c>
      <c r="U204" s="155">
        <f t="shared" si="170"/>
        <v>0</v>
      </c>
      <c r="V204" s="155">
        <f t="shared" si="170"/>
        <v>0</v>
      </c>
      <c r="W204" s="155">
        <f t="shared" ref="W204:X204" si="171">IF(W$20, $H148, $H145)</f>
        <v>0</v>
      </c>
      <c r="X204" s="155">
        <f t="shared" si="171"/>
        <v>0</v>
      </c>
      <c r="Y204" s="155">
        <f t="shared" ref="Y204:Z204" si="172">IF(Y$20, $H148, $H145)</f>
        <v>0</v>
      </c>
      <c r="Z204" s="155">
        <f t="shared" si="172"/>
        <v>0</v>
      </c>
      <c r="AA204" s="155">
        <f t="shared" ref="AA204:AB204" si="173">IF(AA$20, $H148, $H145)</f>
        <v>0</v>
      </c>
      <c r="AB204" s="155">
        <f t="shared" si="173"/>
        <v>0</v>
      </c>
    </row>
    <row r="205" spans="5:28" x14ac:dyDescent="0.25">
      <c r="E205" s="29"/>
      <c r="F205" s="72"/>
      <c r="G205" s="28"/>
      <c r="H205" s="25"/>
      <c r="J205" s="145"/>
      <c r="K205" s="145"/>
      <c r="L205" s="145"/>
      <c r="M205" s="145"/>
      <c r="N205" s="145"/>
      <c r="O205" s="145"/>
      <c r="P205" s="145"/>
      <c r="Q205" s="145"/>
      <c r="R205" s="145"/>
      <c r="S205" s="145"/>
      <c r="T205" s="145"/>
      <c r="U205" s="145"/>
      <c r="V205" s="145"/>
      <c r="W205" s="145"/>
      <c r="X205" s="145"/>
      <c r="Y205" s="145"/>
      <c r="Z205" s="145"/>
      <c r="AA205" s="145"/>
      <c r="AB205" s="145"/>
    </row>
    <row r="206" spans="5:28" x14ac:dyDescent="0.25">
      <c r="E206" s="32" t="s">
        <v>484</v>
      </c>
      <c r="G206" s="28"/>
    </row>
    <row r="207" spans="5:28" x14ac:dyDescent="0.25">
      <c r="E207" s="29"/>
      <c r="F207" s="78" t="s">
        <v>464</v>
      </c>
      <c r="G207" s="64" t="s">
        <v>166</v>
      </c>
      <c r="H207" s="107"/>
      <c r="I207" s="23"/>
      <c r="J207" s="154">
        <f t="shared" ref="J207:K207" si="174">IF(J$20, $H154, $H151)</f>
        <v>0.64549570804091005</v>
      </c>
      <c r="K207" s="154">
        <f t="shared" si="174"/>
        <v>0.64549570804091005</v>
      </c>
      <c r="L207" s="154">
        <f t="shared" ref="L207:M207" si="175">IF(L$20, $H154, $H151)</f>
        <v>0.64549570804091005</v>
      </c>
      <c r="M207" s="154">
        <f t="shared" si="175"/>
        <v>0.64549570804091005</v>
      </c>
      <c r="N207" s="154">
        <f t="shared" ref="N207:P207" si="176">IF(N$20, $H154, $H151)</f>
        <v>0.64549570804091005</v>
      </c>
      <c r="O207" s="154">
        <f t="shared" si="176"/>
        <v>0.64549570804091005</v>
      </c>
      <c r="P207" s="154">
        <f t="shared" si="176"/>
        <v>0.64549570804091005</v>
      </c>
      <c r="Q207" s="154">
        <f t="shared" ref="Q207:S207" si="177">IF(Q$20, $H154, $H151)</f>
        <v>0.64549570804091005</v>
      </c>
      <c r="R207" s="154">
        <f t="shared" si="177"/>
        <v>0.64549570804091005</v>
      </c>
      <c r="S207" s="154">
        <f t="shared" si="177"/>
        <v>0.64549570804091005</v>
      </c>
      <c r="T207" s="154">
        <f t="shared" ref="T207:V207" si="178">IF(T$20, $H154, $H151)</f>
        <v>0.60511449175300125</v>
      </c>
      <c r="U207" s="154">
        <f t="shared" si="178"/>
        <v>0.64549570804091005</v>
      </c>
      <c r="V207" s="154">
        <f t="shared" si="178"/>
        <v>0.64549570804091005</v>
      </c>
      <c r="W207" s="154">
        <f t="shared" ref="W207:X207" si="179">IF(W$20, $H154, $H151)</f>
        <v>0.64549570804091005</v>
      </c>
      <c r="X207" s="154">
        <f t="shared" si="179"/>
        <v>0.64549570804091005</v>
      </c>
      <c r="Y207" s="154">
        <f t="shared" ref="Y207:Z207" si="180">IF(Y$20, $H154, $H151)</f>
        <v>0.64549570804091005</v>
      </c>
      <c r="Z207" s="154">
        <f t="shared" si="180"/>
        <v>0.64549570804091005</v>
      </c>
      <c r="AA207" s="154">
        <f t="shared" ref="AA207:AB207" si="181">IF(AA$20, $H154, $H151)</f>
        <v>0.64549570804091005</v>
      </c>
      <c r="AB207" s="154">
        <f t="shared" si="181"/>
        <v>0.64549570804091005</v>
      </c>
    </row>
    <row r="208" spans="5:28" x14ac:dyDescent="0.25">
      <c r="E208" s="29"/>
      <c r="F208" s="72" t="s">
        <v>465</v>
      </c>
      <c r="G208" s="28" t="s">
        <v>166</v>
      </c>
      <c r="H208" s="25"/>
      <c r="J208" s="145">
        <f t="shared" ref="J208:K208" si="182">IF(J$20, $H155, $H152)</f>
        <v>0.33912381234136874</v>
      </c>
      <c r="K208" s="145">
        <f t="shared" si="182"/>
        <v>0.33912381234136874</v>
      </c>
      <c r="L208" s="145">
        <f t="shared" ref="L208:M208" si="183">IF(L$20, $H155, $H152)</f>
        <v>0.33912381234136874</v>
      </c>
      <c r="M208" s="145">
        <f t="shared" si="183"/>
        <v>0.33912381234136874</v>
      </c>
      <c r="N208" s="145">
        <f t="shared" ref="N208:P208" si="184">IF(N$20, $H155, $H152)</f>
        <v>0.33912381234136874</v>
      </c>
      <c r="O208" s="145">
        <f t="shared" si="184"/>
        <v>0.33912381234136874</v>
      </c>
      <c r="P208" s="145">
        <f t="shared" si="184"/>
        <v>0.33912381234136874</v>
      </c>
      <c r="Q208" s="145">
        <f t="shared" ref="Q208:S208" si="185">IF(Q$20, $H155, $H152)</f>
        <v>0.33912381234136874</v>
      </c>
      <c r="R208" s="145">
        <f t="shared" si="185"/>
        <v>0.33912381234136874</v>
      </c>
      <c r="S208" s="145">
        <f t="shared" si="185"/>
        <v>0.33912381234136874</v>
      </c>
      <c r="T208" s="145">
        <f t="shared" ref="T208:V208" si="186">IF(T$20, $H155, $H152)</f>
        <v>0.37950502862927749</v>
      </c>
      <c r="U208" s="145">
        <f t="shared" si="186"/>
        <v>0.33912381234136874</v>
      </c>
      <c r="V208" s="145">
        <f t="shared" si="186"/>
        <v>0.33912381234136874</v>
      </c>
      <c r="W208" s="145">
        <f t="shared" ref="W208:X208" si="187">IF(W$20, $H155, $H152)</f>
        <v>0.33912381234136874</v>
      </c>
      <c r="X208" s="145">
        <f t="shared" si="187"/>
        <v>0.33912381234136874</v>
      </c>
      <c r="Y208" s="145">
        <f t="shared" ref="Y208:Z208" si="188">IF(Y$20, $H155, $H152)</f>
        <v>0.33912381234136874</v>
      </c>
      <c r="Z208" s="145">
        <f t="shared" si="188"/>
        <v>0.33912381234136874</v>
      </c>
      <c r="AA208" s="145">
        <f t="shared" ref="AA208:AB208" si="189">IF(AA$20, $H155, $H152)</f>
        <v>0.33912381234136874</v>
      </c>
      <c r="AB208" s="145">
        <f t="shared" si="189"/>
        <v>0.33912381234136874</v>
      </c>
    </row>
    <row r="209" spans="3:30" x14ac:dyDescent="0.25">
      <c r="E209" s="29"/>
      <c r="F209" s="80" t="s">
        <v>256</v>
      </c>
      <c r="G209" s="67" t="s">
        <v>166</v>
      </c>
      <c r="H209" s="141"/>
      <c r="I209" s="37"/>
      <c r="J209" s="155">
        <f t="shared" ref="J209:K209" si="190">IF(J$20, $H156, $H153)</f>
        <v>1.5380479617721122E-2</v>
      </c>
      <c r="K209" s="155">
        <f t="shared" si="190"/>
        <v>1.5380479617721122E-2</v>
      </c>
      <c r="L209" s="155">
        <f t="shared" ref="L209:M209" si="191">IF(L$20, $H156, $H153)</f>
        <v>1.5380479617721122E-2</v>
      </c>
      <c r="M209" s="155">
        <f t="shared" si="191"/>
        <v>1.5380479617721122E-2</v>
      </c>
      <c r="N209" s="155">
        <f t="shared" ref="N209:P209" si="192">IF(N$20, $H156, $H153)</f>
        <v>1.5380479617721122E-2</v>
      </c>
      <c r="O209" s="155">
        <f t="shared" si="192"/>
        <v>1.5380479617721122E-2</v>
      </c>
      <c r="P209" s="155">
        <f t="shared" si="192"/>
        <v>1.5380479617721122E-2</v>
      </c>
      <c r="Q209" s="155">
        <f t="shared" ref="Q209:S209" si="193">IF(Q$20, $H156, $H153)</f>
        <v>1.5380479617721122E-2</v>
      </c>
      <c r="R209" s="155">
        <f t="shared" si="193"/>
        <v>1.5380479617721122E-2</v>
      </c>
      <c r="S209" s="155">
        <f t="shared" si="193"/>
        <v>1.5380479617721122E-2</v>
      </c>
      <c r="T209" s="155">
        <f t="shared" ref="T209:V209" si="194">IF(T$20, $H156, $H153)</f>
        <v>1.5380479617721122E-2</v>
      </c>
      <c r="U209" s="155">
        <f t="shared" si="194"/>
        <v>1.5380479617721122E-2</v>
      </c>
      <c r="V209" s="155">
        <f t="shared" si="194"/>
        <v>1.5380479617721122E-2</v>
      </c>
      <c r="W209" s="155">
        <f t="shared" ref="W209:X209" si="195">IF(W$20, $H156, $H153)</f>
        <v>1.5380479617721122E-2</v>
      </c>
      <c r="X209" s="155">
        <f t="shared" si="195"/>
        <v>1.5380479617721122E-2</v>
      </c>
      <c r="Y209" s="155">
        <f t="shared" ref="Y209:Z209" si="196">IF(Y$20, $H156, $H153)</f>
        <v>1.5380479617721122E-2</v>
      </c>
      <c r="Z209" s="155">
        <f t="shared" si="196"/>
        <v>1.5380479617721122E-2</v>
      </c>
      <c r="AA209" s="155">
        <f t="shared" ref="AA209:AB209" si="197">IF(AA$20, $H156, $H153)</f>
        <v>1.5380479617721122E-2</v>
      </c>
      <c r="AB209" s="155">
        <f t="shared" si="197"/>
        <v>1.5380479617721122E-2</v>
      </c>
    </row>
    <row r="210" spans="3:30" x14ac:dyDescent="0.25">
      <c r="E210" s="29"/>
      <c r="F210" s="72"/>
      <c r="G210" s="28"/>
      <c r="H210" s="25"/>
      <c r="J210" s="145"/>
      <c r="K210" s="145"/>
      <c r="L210" s="145"/>
      <c r="M210" s="145"/>
      <c r="N210" s="145"/>
      <c r="O210" s="145"/>
      <c r="P210" s="145"/>
      <c r="Q210" s="145"/>
      <c r="R210" s="145"/>
      <c r="S210" s="145"/>
      <c r="T210" s="145"/>
      <c r="U210" s="145"/>
      <c r="V210" s="145"/>
      <c r="W210" s="145"/>
      <c r="X210" s="145"/>
      <c r="Y210" s="145"/>
      <c r="Z210" s="145"/>
      <c r="AA210" s="145"/>
      <c r="AB210" s="145"/>
    </row>
    <row r="211" spans="3:30" x14ac:dyDescent="0.25">
      <c r="E211" s="32" t="s">
        <v>485</v>
      </c>
      <c r="G211" s="28"/>
    </row>
    <row r="212" spans="3:30" x14ac:dyDescent="0.25">
      <c r="E212" s="29"/>
      <c r="F212" s="78" t="s">
        <v>464</v>
      </c>
      <c r="G212" s="64" t="s">
        <v>166</v>
      </c>
      <c r="H212" s="107"/>
      <c r="I212" s="23"/>
      <c r="J212" s="154">
        <f t="shared" ref="J212:K212" si="198">IF(J$20, $H162, $H159)</f>
        <v>0.64549570804091005</v>
      </c>
      <c r="K212" s="154">
        <f t="shared" si="198"/>
        <v>0.64549570804091005</v>
      </c>
      <c r="L212" s="154">
        <f t="shared" ref="L212:M212" si="199">IF(L$20, $H162, $H159)</f>
        <v>0.64549570804091005</v>
      </c>
      <c r="M212" s="154">
        <f t="shared" si="199"/>
        <v>0.64549570804091005</v>
      </c>
      <c r="N212" s="154">
        <f t="shared" ref="N212:P212" si="200">IF(N$20, $H162, $H159)</f>
        <v>0.64549570804091005</v>
      </c>
      <c r="O212" s="154">
        <f t="shared" si="200"/>
        <v>0.64549570804091005</v>
      </c>
      <c r="P212" s="154">
        <f t="shared" si="200"/>
        <v>0.64549570804091005</v>
      </c>
      <c r="Q212" s="154">
        <f t="shared" ref="Q212:S212" si="201">IF(Q$20, $H162, $H159)</f>
        <v>0.64549570804091005</v>
      </c>
      <c r="R212" s="154">
        <f t="shared" si="201"/>
        <v>0.64549570804091005</v>
      </c>
      <c r="S212" s="154">
        <f t="shared" si="201"/>
        <v>0.64549570804091005</v>
      </c>
      <c r="T212" s="154">
        <f t="shared" ref="T212:V212" si="202">IF(T$20, $H162, $H159)</f>
        <v>0.60511449175300125</v>
      </c>
      <c r="U212" s="154">
        <f t="shared" si="202"/>
        <v>0.64549570804091005</v>
      </c>
      <c r="V212" s="154">
        <f t="shared" si="202"/>
        <v>0.64549570804091005</v>
      </c>
      <c r="W212" s="154">
        <f t="shared" ref="W212:X212" si="203">IF(W$20, $H162, $H159)</f>
        <v>0.64549570804091005</v>
      </c>
      <c r="X212" s="154">
        <f t="shared" si="203"/>
        <v>0.64549570804091005</v>
      </c>
      <c r="Y212" s="154">
        <f t="shared" ref="Y212:Z212" si="204">IF(Y$20, $H162, $H159)</f>
        <v>0.64549570804091005</v>
      </c>
      <c r="Z212" s="154">
        <f t="shared" si="204"/>
        <v>0.64549570804091005</v>
      </c>
      <c r="AA212" s="154">
        <f t="shared" ref="AA212:AB212" si="205">IF(AA$20, $H162, $H159)</f>
        <v>0.64549570804091005</v>
      </c>
      <c r="AB212" s="154">
        <f t="shared" si="205"/>
        <v>0.64549570804091005</v>
      </c>
    </row>
    <row r="213" spans="3:30" x14ac:dyDescent="0.25">
      <c r="E213" s="29"/>
      <c r="F213" s="72" t="s">
        <v>465</v>
      </c>
      <c r="G213" s="28" t="s">
        <v>166</v>
      </c>
      <c r="H213" s="25"/>
      <c r="J213" s="145">
        <f t="shared" ref="J213:K213" si="206">IF(J$20, $H163, $H160)</f>
        <v>0.33912381234136874</v>
      </c>
      <c r="K213" s="145">
        <f t="shared" si="206"/>
        <v>0.33912381234136874</v>
      </c>
      <c r="L213" s="145">
        <f t="shared" ref="L213:M213" si="207">IF(L$20, $H163, $H160)</f>
        <v>0.33912381234136874</v>
      </c>
      <c r="M213" s="145">
        <f t="shared" si="207"/>
        <v>0.33912381234136874</v>
      </c>
      <c r="N213" s="145">
        <f t="shared" ref="N213:P213" si="208">IF(N$20, $H163, $H160)</f>
        <v>0.33912381234136874</v>
      </c>
      <c r="O213" s="145">
        <f t="shared" si="208"/>
        <v>0.33912381234136874</v>
      </c>
      <c r="P213" s="145">
        <f t="shared" si="208"/>
        <v>0.33912381234136874</v>
      </c>
      <c r="Q213" s="145">
        <f t="shared" ref="Q213:S213" si="209">IF(Q$20, $H163, $H160)</f>
        <v>0.33912381234136874</v>
      </c>
      <c r="R213" s="145">
        <f t="shared" si="209"/>
        <v>0.33912381234136874</v>
      </c>
      <c r="S213" s="145">
        <f t="shared" si="209"/>
        <v>0.33912381234136874</v>
      </c>
      <c r="T213" s="145">
        <f t="shared" ref="T213:V213" si="210">IF(T$20, $H163, $H160)</f>
        <v>0.37950502862927749</v>
      </c>
      <c r="U213" s="145">
        <f t="shared" si="210"/>
        <v>0.33912381234136874</v>
      </c>
      <c r="V213" s="145">
        <f t="shared" si="210"/>
        <v>0.33912381234136874</v>
      </c>
      <c r="W213" s="145">
        <f t="shared" ref="W213:X213" si="211">IF(W$20, $H163, $H160)</f>
        <v>0.33912381234136874</v>
      </c>
      <c r="X213" s="145">
        <f t="shared" si="211"/>
        <v>0.33912381234136874</v>
      </c>
      <c r="Y213" s="145">
        <f t="shared" ref="Y213:Z213" si="212">IF(Y$20, $H163, $H160)</f>
        <v>0.33912381234136874</v>
      </c>
      <c r="Z213" s="145">
        <f t="shared" si="212"/>
        <v>0.33912381234136874</v>
      </c>
      <c r="AA213" s="145">
        <f t="shared" ref="AA213:AB213" si="213">IF(AA$20, $H163, $H160)</f>
        <v>0.33912381234136874</v>
      </c>
      <c r="AB213" s="145">
        <f t="shared" si="213"/>
        <v>0.33912381234136874</v>
      </c>
    </row>
    <row r="214" spans="3:30" x14ac:dyDescent="0.25">
      <c r="E214" s="29"/>
      <c r="F214" s="80" t="s">
        <v>256</v>
      </c>
      <c r="G214" s="67" t="s">
        <v>166</v>
      </c>
      <c r="H214" s="141"/>
      <c r="I214" s="37"/>
      <c r="J214" s="155">
        <f t="shared" ref="J214:K214" si="214">IF(J$20, $H164, $H161)</f>
        <v>1.5380479617721122E-2</v>
      </c>
      <c r="K214" s="155">
        <f t="shared" si="214"/>
        <v>1.5380479617721122E-2</v>
      </c>
      <c r="L214" s="155">
        <f t="shared" ref="L214:M214" si="215">IF(L$20, $H164, $H161)</f>
        <v>1.5380479617721122E-2</v>
      </c>
      <c r="M214" s="155">
        <f t="shared" si="215"/>
        <v>1.5380479617721122E-2</v>
      </c>
      <c r="N214" s="155">
        <f t="shared" ref="N214:P214" si="216">IF(N$20, $H164, $H161)</f>
        <v>1.5380479617721122E-2</v>
      </c>
      <c r="O214" s="155">
        <f t="shared" si="216"/>
        <v>1.5380479617721122E-2</v>
      </c>
      <c r="P214" s="155">
        <f t="shared" si="216"/>
        <v>1.5380479617721122E-2</v>
      </c>
      <c r="Q214" s="155">
        <f t="shared" ref="Q214:S214" si="217">IF(Q$20, $H164, $H161)</f>
        <v>1.5380479617721122E-2</v>
      </c>
      <c r="R214" s="155">
        <f t="shared" si="217"/>
        <v>1.5380479617721122E-2</v>
      </c>
      <c r="S214" s="155">
        <f t="shared" si="217"/>
        <v>1.5380479617721122E-2</v>
      </c>
      <c r="T214" s="155">
        <f t="shared" ref="T214:V214" si="218">IF(T$20, $H164, $H161)</f>
        <v>1.5380479617721122E-2</v>
      </c>
      <c r="U214" s="155">
        <f t="shared" si="218"/>
        <v>1.5380479617721122E-2</v>
      </c>
      <c r="V214" s="155">
        <f t="shared" si="218"/>
        <v>1.5380479617721122E-2</v>
      </c>
      <c r="W214" s="155">
        <f t="shared" ref="W214:X214" si="219">IF(W$20, $H164, $H161)</f>
        <v>1.5380479617721122E-2</v>
      </c>
      <c r="X214" s="155">
        <f t="shared" si="219"/>
        <v>1.5380479617721122E-2</v>
      </c>
      <c r="Y214" s="155">
        <f t="shared" ref="Y214:Z214" si="220">IF(Y$20, $H164, $H161)</f>
        <v>1.5380479617721122E-2</v>
      </c>
      <c r="Z214" s="155">
        <f t="shared" si="220"/>
        <v>1.5380479617721122E-2</v>
      </c>
      <c r="AA214" s="155">
        <f t="shared" ref="AA214:AB214" si="221">IF(AA$20, $H164, $H161)</f>
        <v>1.5380479617721122E-2</v>
      </c>
      <c r="AB214" s="155">
        <f t="shared" si="221"/>
        <v>1.5380479617721122E-2</v>
      </c>
    </row>
    <row r="215" spans="3:30" x14ac:dyDescent="0.25">
      <c r="E215" s="29"/>
      <c r="F215" s="72"/>
      <c r="G215" s="28"/>
      <c r="H215" s="25"/>
      <c r="J215" s="145"/>
      <c r="K215" s="145"/>
      <c r="L215" s="145"/>
      <c r="M215" s="145"/>
      <c r="N215" s="145"/>
      <c r="O215" s="145"/>
      <c r="P215" s="145"/>
      <c r="Q215" s="145"/>
      <c r="R215" s="145"/>
      <c r="S215" s="145"/>
      <c r="T215" s="145"/>
      <c r="U215" s="145"/>
      <c r="V215" s="145"/>
      <c r="W215" s="145"/>
      <c r="X215" s="145"/>
      <c r="Y215" s="145"/>
      <c r="Z215" s="145"/>
      <c r="AA215" s="145"/>
      <c r="AB215" s="145"/>
    </row>
    <row r="216" spans="3:30" x14ac:dyDescent="0.25">
      <c r="E216" s="32" t="s">
        <v>486</v>
      </c>
      <c r="G216" s="28"/>
    </row>
    <row r="217" spans="3:30" x14ac:dyDescent="0.25">
      <c r="E217" s="29"/>
      <c r="F217" s="78" t="s">
        <v>464</v>
      </c>
      <c r="G217" s="64" t="s">
        <v>166</v>
      </c>
      <c r="H217" s="107"/>
      <c r="I217" s="23"/>
      <c r="J217" s="154">
        <f t="shared" ref="J217:K217" si="222">IF(J$20, $H170, $H167)</f>
        <v>0.64549570804091005</v>
      </c>
      <c r="K217" s="154">
        <f t="shared" si="222"/>
        <v>0.64549570804091005</v>
      </c>
      <c r="L217" s="154">
        <f t="shared" ref="L217:M217" si="223">IF(L$20, $H170, $H167)</f>
        <v>0.64549570804091005</v>
      </c>
      <c r="M217" s="154">
        <f t="shared" si="223"/>
        <v>0.64549570804091005</v>
      </c>
      <c r="N217" s="154">
        <f t="shared" ref="N217:P217" si="224">IF(N$20, $H170, $H167)</f>
        <v>0.64549570804091005</v>
      </c>
      <c r="O217" s="154">
        <f t="shared" si="224"/>
        <v>0.64549570804091005</v>
      </c>
      <c r="P217" s="154">
        <f t="shared" si="224"/>
        <v>0.64549570804091005</v>
      </c>
      <c r="Q217" s="154">
        <f t="shared" ref="Q217:S217" si="225">IF(Q$20, $H170, $H167)</f>
        <v>0.64549570804091005</v>
      </c>
      <c r="R217" s="154">
        <f t="shared" si="225"/>
        <v>0.64549570804091005</v>
      </c>
      <c r="S217" s="154">
        <f t="shared" si="225"/>
        <v>0.64549570804091005</v>
      </c>
      <c r="T217" s="154">
        <f t="shared" ref="T217:V217" si="226">IF(T$20, $H170, $H167)</f>
        <v>0.60511449175300125</v>
      </c>
      <c r="U217" s="154">
        <f t="shared" si="226"/>
        <v>0.64549570804091005</v>
      </c>
      <c r="V217" s="154">
        <f t="shared" si="226"/>
        <v>0.64549570804091005</v>
      </c>
      <c r="W217" s="154">
        <f t="shared" ref="W217:X217" si="227">IF(W$20, $H170, $H167)</f>
        <v>0.64549570804091005</v>
      </c>
      <c r="X217" s="154">
        <f t="shared" si="227"/>
        <v>0.64549570804091005</v>
      </c>
      <c r="Y217" s="154">
        <f t="shared" ref="Y217:Z217" si="228">IF(Y$20, $H170, $H167)</f>
        <v>0.64549570804091005</v>
      </c>
      <c r="Z217" s="154">
        <f t="shared" si="228"/>
        <v>0.64549570804091005</v>
      </c>
      <c r="AA217" s="154">
        <f t="shared" ref="AA217:AB217" si="229">IF(AA$20, $H170, $H167)</f>
        <v>0.64549570804091005</v>
      </c>
      <c r="AB217" s="154">
        <f t="shared" si="229"/>
        <v>0.64549570804091005</v>
      </c>
    </row>
    <row r="218" spans="3:30" x14ac:dyDescent="0.25">
      <c r="E218" s="29"/>
      <c r="F218" s="72" t="s">
        <v>465</v>
      </c>
      <c r="G218" s="28" t="s">
        <v>166</v>
      </c>
      <c r="H218" s="25"/>
      <c r="J218" s="145">
        <f t="shared" ref="J218:K218" si="230">IF(J$20, $H171, $H168)</f>
        <v>0.33912381234136874</v>
      </c>
      <c r="K218" s="145">
        <f t="shared" si="230"/>
        <v>0.33912381234136874</v>
      </c>
      <c r="L218" s="145">
        <f t="shared" ref="L218:M218" si="231">IF(L$20, $H171, $H168)</f>
        <v>0.33912381234136874</v>
      </c>
      <c r="M218" s="145">
        <f t="shared" si="231"/>
        <v>0.33912381234136874</v>
      </c>
      <c r="N218" s="145">
        <f t="shared" ref="N218:P218" si="232">IF(N$20, $H171, $H168)</f>
        <v>0.33912381234136874</v>
      </c>
      <c r="O218" s="145">
        <f t="shared" si="232"/>
        <v>0.33912381234136874</v>
      </c>
      <c r="P218" s="145">
        <f t="shared" si="232"/>
        <v>0.33912381234136874</v>
      </c>
      <c r="Q218" s="145">
        <f t="shared" ref="Q218:S218" si="233">IF(Q$20, $H171, $H168)</f>
        <v>0.33912381234136874</v>
      </c>
      <c r="R218" s="145">
        <f t="shared" si="233"/>
        <v>0.33912381234136874</v>
      </c>
      <c r="S218" s="145">
        <f t="shared" si="233"/>
        <v>0.33912381234136874</v>
      </c>
      <c r="T218" s="145">
        <f t="shared" ref="T218:V218" si="234">IF(T$20, $H171, $H168)</f>
        <v>0.37950502862927749</v>
      </c>
      <c r="U218" s="145">
        <f t="shared" si="234"/>
        <v>0.33912381234136874</v>
      </c>
      <c r="V218" s="145">
        <f t="shared" si="234"/>
        <v>0.33912381234136874</v>
      </c>
      <c r="W218" s="145">
        <f t="shared" ref="W218:X218" si="235">IF(W$20, $H171, $H168)</f>
        <v>0.33912381234136874</v>
      </c>
      <c r="X218" s="145">
        <f t="shared" si="235"/>
        <v>0.33912381234136874</v>
      </c>
      <c r="Y218" s="145">
        <f t="shared" ref="Y218:Z218" si="236">IF(Y$20, $H171, $H168)</f>
        <v>0.33912381234136874</v>
      </c>
      <c r="Z218" s="145">
        <f t="shared" si="236"/>
        <v>0.33912381234136874</v>
      </c>
      <c r="AA218" s="145">
        <f t="shared" ref="AA218:AB218" si="237">IF(AA$20, $H171, $H168)</f>
        <v>0.33912381234136874</v>
      </c>
      <c r="AB218" s="145">
        <f t="shared" si="237"/>
        <v>0.33912381234136874</v>
      </c>
    </row>
    <row r="219" spans="3:30" x14ac:dyDescent="0.25">
      <c r="E219" s="29"/>
      <c r="F219" s="80" t="s">
        <v>256</v>
      </c>
      <c r="G219" s="67" t="s">
        <v>166</v>
      </c>
      <c r="H219" s="141"/>
      <c r="I219" s="37"/>
      <c r="J219" s="155">
        <f t="shared" ref="J219:K219" si="238">IF(J$20, $H172, $H169)</f>
        <v>1.5380479617721122E-2</v>
      </c>
      <c r="K219" s="155">
        <f t="shared" si="238"/>
        <v>1.5380479617721122E-2</v>
      </c>
      <c r="L219" s="155">
        <f t="shared" ref="L219:M219" si="239">IF(L$20, $H172, $H169)</f>
        <v>1.5380479617721122E-2</v>
      </c>
      <c r="M219" s="155">
        <f t="shared" si="239"/>
        <v>1.5380479617721122E-2</v>
      </c>
      <c r="N219" s="155">
        <f t="shared" ref="N219:P219" si="240">IF(N$20, $H172, $H169)</f>
        <v>1.5380479617721122E-2</v>
      </c>
      <c r="O219" s="155">
        <f t="shared" si="240"/>
        <v>1.5380479617721122E-2</v>
      </c>
      <c r="P219" s="155">
        <f t="shared" si="240"/>
        <v>1.5380479617721122E-2</v>
      </c>
      <c r="Q219" s="155">
        <f t="shared" ref="Q219:S219" si="241">IF(Q$20, $H172, $H169)</f>
        <v>1.5380479617721122E-2</v>
      </c>
      <c r="R219" s="155">
        <f t="shared" si="241"/>
        <v>1.5380479617721122E-2</v>
      </c>
      <c r="S219" s="155">
        <f t="shared" si="241"/>
        <v>1.5380479617721122E-2</v>
      </c>
      <c r="T219" s="155">
        <f t="shared" ref="T219:V219" si="242">IF(T$20, $H172, $H169)</f>
        <v>1.5380479617721122E-2</v>
      </c>
      <c r="U219" s="155">
        <f t="shared" si="242"/>
        <v>1.5380479617721122E-2</v>
      </c>
      <c r="V219" s="155">
        <f t="shared" si="242"/>
        <v>1.5380479617721122E-2</v>
      </c>
      <c r="W219" s="155">
        <f t="shared" ref="W219:X219" si="243">IF(W$20, $H172, $H169)</f>
        <v>1.5380479617721122E-2</v>
      </c>
      <c r="X219" s="155">
        <f t="shared" si="243"/>
        <v>1.5380479617721122E-2</v>
      </c>
      <c r="Y219" s="155">
        <f t="shared" ref="Y219:Z219" si="244">IF(Y$20, $H172, $H169)</f>
        <v>1.5380479617721122E-2</v>
      </c>
      <c r="Z219" s="155">
        <f t="shared" si="244"/>
        <v>1.5380479617721122E-2</v>
      </c>
      <c r="AA219" s="155">
        <f t="shared" ref="AA219:AB219" si="245">IF(AA$20, $H172, $H169)</f>
        <v>1.5380479617721122E-2</v>
      </c>
      <c r="AB219" s="155">
        <f t="shared" si="245"/>
        <v>1.5380479617721122E-2</v>
      </c>
    </row>
    <row r="220" spans="3:30" x14ac:dyDescent="0.25">
      <c r="D220" s="29"/>
      <c r="E220" s="72"/>
      <c r="G220" s="28"/>
      <c r="H220" s="25"/>
      <c r="J220" s="145"/>
      <c r="K220" s="145"/>
      <c r="L220" s="145"/>
      <c r="M220" s="145"/>
      <c r="N220" s="145"/>
      <c r="O220" s="145"/>
      <c r="P220" s="145"/>
      <c r="Q220" s="145"/>
      <c r="R220" s="145"/>
      <c r="S220" s="145"/>
      <c r="T220" s="145"/>
      <c r="U220" s="145"/>
      <c r="V220" s="145"/>
      <c r="W220" s="145"/>
      <c r="X220" s="145"/>
      <c r="Y220" s="145"/>
      <c r="Z220" s="145"/>
      <c r="AA220" s="145"/>
      <c r="AB220" s="145"/>
    </row>
    <row r="221" spans="3:30" x14ac:dyDescent="0.25">
      <c r="C221" s="31" t="str">
        <f ca="1">INDEX('Version control'!$H$34:$H$57,MATCH($A$1,'Version control'!$F$34:$F$57,0),1)&amp;"-J: Ratio of coincidence factor to load factor, based on uniform distribution in timebands and peaking probabilities"</f>
        <v>Section 105-J: Ratio of coincidence factor to load factor, based on uniform distribution in timebands and peaking probabilities</v>
      </c>
      <c r="D221" s="31"/>
      <c r="E221" s="31"/>
      <c r="F221" s="31"/>
      <c r="G221" s="31"/>
      <c r="H221" s="31"/>
      <c r="I221" s="31"/>
      <c r="J221" s="31"/>
      <c r="K221" s="31"/>
      <c r="L221" s="31"/>
      <c r="M221" s="31"/>
      <c r="N221" s="31"/>
      <c r="O221" s="31"/>
      <c r="P221" s="31"/>
      <c r="Q221" s="31"/>
      <c r="R221" s="31"/>
      <c r="S221" s="31"/>
      <c r="T221" s="31"/>
      <c r="U221" s="31"/>
      <c r="V221" s="31"/>
      <c r="W221" s="31"/>
      <c r="X221" s="31"/>
      <c r="Y221" s="31"/>
      <c r="Z221" s="31"/>
      <c r="AA221" s="31"/>
      <c r="AB221" s="31"/>
      <c r="AC221" s="31"/>
      <c r="AD221" s="31"/>
    </row>
    <row r="222" spans="3:30" x14ac:dyDescent="0.25">
      <c r="D222" s="29"/>
      <c r="E222" s="72"/>
      <c r="G222" s="28"/>
      <c r="H222" s="25"/>
      <c r="J222" s="145"/>
      <c r="K222" s="145"/>
      <c r="L222" s="145"/>
      <c r="M222" s="145"/>
      <c r="N222" s="145"/>
      <c r="O222" s="145"/>
      <c r="P222" s="145"/>
      <c r="Q222" s="145"/>
      <c r="R222" s="145"/>
      <c r="S222" s="145"/>
      <c r="T222" s="145"/>
      <c r="U222" s="145"/>
      <c r="V222" s="145"/>
      <c r="W222" s="145"/>
      <c r="X222" s="145"/>
      <c r="Y222" s="145"/>
      <c r="Z222" s="145"/>
      <c r="AA222" s="145"/>
      <c r="AB222" s="145"/>
    </row>
    <row r="223" spans="3:30" x14ac:dyDescent="0.25">
      <c r="E223" s="32" t="s">
        <v>487</v>
      </c>
      <c r="G223" s="28"/>
    </row>
    <row r="224" spans="3:30" x14ac:dyDescent="0.25">
      <c r="F224" s="64" t="s">
        <v>464</v>
      </c>
      <c r="G224" s="64" t="s">
        <v>488</v>
      </c>
      <c r="H224" s="23"/>
      <c r="I224" s="23"/>
      <c r="J224" s="158">
        <f t="shared" ref="J224:AB224" si="246">1 / J24</f>
        <v>1.277139208173691E-3</v>
      </c>
      <c r="K224" s="158">
        <f t="shared" si="246"/>
        <v>1.277139208173691E-3</v>
      </c>
      <c r="L224" s="158">
        <f t="shared" si="246"/>
        <v>1.277139208173691E-3</v>
      </c>
      <c r="M224" s="158">
        <f t="shared" si="246"/>
        <v>1.277139208173691E-3</v>
      </c>
      <c r="N224" s="158">
        <f t="shared" si="246"/>
        <v>1.277139208173691E-3</v>
      </c>
      <c r="O224" s="158">
        <f t="shared" si="246"/>
        <v>1.277139208173691E-3</v>
      </c>
      <c r="P224" s="158">
        <f t="shared" si="246"/>
        <v>1.277139208173691E-3</v>
      </c>
      <c r="Q224" s="158">
        <f t="shared" ref="Q224:S224" si="247">1 / Q24</f>
        <v>1.277139208173691E-3</v>
      </c>
      <c r="R224" s="158">
        <f t="shared" si="247"/>
        <v>1.277139208173691E-3</v>
      </c>
      <c r="S224" s="158">
        <f t="shared" si="247"/>
        <v>1.277139208173691E-3</v>
      </c>
      <c r="T224" s="158">
        <f t="shared" si="246"/>
        <v>3.875968992248062E-3</v>
      </c>
      <c r="U224" s="158">
        <f t="shared" si="246"/>
        <v>1.277139208173691E-3</v>
      </c>
      <c r="V224" s="158">
        <f t="shared" si="246"/>
        <v>1.277139208173691E-3</v>
      </c>
      <c r="W224" s="158">
        <f t="shared" si="246"/>
        <v>1.277139208173691E-3</v>
      </c>
      <c r="X224" s="158">
        <f t="shared" si="246"/>
        <v>1.277139208173691E-3</v>
      </c>
      <c r="Y224" s="158">
        <f t="shared" si="246"/>
        <v>1.277139208173691E-3</v>
      </c>
      <c r="Z224" s="158">
        <f t="shared" si="246"/>
        <v>1.277139208173691E-3</v>
      </c>
      <c r="AA224" s="158">
        <f t="shared" si="246"/>
        <v>1.277139208173691E-3</v>
      </c>
      <c r="AB224" s="158">
        <f t="shared" si="246"/>
        <v>1.277139208173691E-3</v>
      </c>
    </row>
    <row r="225" spans="5:28" x14ac:dyDescent="0.25">
      <c r="F225" s="28" t="s">
        <v>465</v>
      </c>
      <c r="G225" s="28" t="s">
        <v>488</v>
      </c>
      <c r="J225" s="89">
        <f t="shared" ref="J225:AB225" si="248">1 / J25</f>
        <v>2.9261155815654721E-4</v>
      </c>
      <c r="K225" s="89">
        <f t="shared" si="248"/>
        <v>2.9261155815654721E-4</v>
      </c>
      <c r="L225" s="89">
        <f t="shared" si="248"/>
        <v>2.9261155815654721E-4</v>
      </c>
      <c r="M225" s="89">
        <f t="shared" si="248"/>
        <v>2.9261155815654721E-4</v>
      </c>
      <c r="N225" s="89">
        <f t="shared" si="248"/>
        <v>2.9261155815654721E-4</v>
      </c>
      <c r="O225" s="89">
        <f t="shared" si="248"/>
        <v>2.9261155815654721E-4</v>
      </c>
      <c r="P225" s="89">
        <f t="shared" si="248"/>
        <v>2.9261155815654721E-4</v>
      </c>
      <c r="Q225" s="89">
        <f t="shared" ref="Q225:S225" si="249">1 / Q25</f>
        <v>2.9261155815654721E-4</v>
      </c>
      <c r="R225" s="89">
        <f t="shared" si="249"/>
        <v>2.9261155815654721E-4</v>
      </c>
      <c r="S225" s="89">
        <f t="shared" si="249"/>
        <v>2.9261155815654721E-4</v>
      </c>
      <c r="T225" s="89">
        <f t="shared" si="248"/>
        <v>2.5364616360177552E-4</v>
      </c>
      <c r="U225" s="89">
        <f t="shared" si="248"/>
        <v>2.9261155815654721E-4</v>
      </c>
      <c r="V225" s="89">
        <f t="shared" si="248"/>
        <v>2.9261155815654721E-4</v>
      </c>
      <c r="W225" s="89">
        <f t="shared" si="248"/>
        <v>2.9261155815654721E-4</v>
      </c>
      <c r="X225" s="89">
        <f t="shared" si="248"/>
        <v>2.9261155815654721E-4</v>
      </c>
      <c r="Y225" s="89">
        <f t="shared" si="248"/>
        <v>2.9261155815654721E-4</v>
      </c>
      <c r="Z225" s="89">
        <f t="shared" si="248"/>
        <v>2.9261155815654721E-4</v>
      </c>
      <c r="AA225" s="89">
        <f t="shared" si="248"/>
        <v>2.9261155815654721E-4</v>
      </c>
      <c r="AB225" s="89">
        <f t="shared" si="248"/>
        <v>2.9261155815654721E-4</v>
      </c>
    </row>
    <row r="226" spans="5:28" x14ac:dyDescent="0.25">
      <c r="F226" s="67" t="s">
        <v>256</v>
      </c>
      <c r="G226" s="67" t="s">
        <v>488</v>
      </c>
      <c r="H226" s="37"/>
      <c r="I226" s="37"/>
      <c r="J226" s="82">
        <f t="shared" ref="J226:AB226" si="250">1 / J26</f>
        <v>2.193222941111964E-4</v>
      </c>
      <c r="K226" s="82">
        <f t="shared" si="250"/>
        <v>2.193222941111964E-4</v>
      </c>
      <c r="L226" s="82">
        <f t="shared" si="250"/>
        <v>2.193222941111964E-4</v>
      </c>
      <c r="M226" s="82">
        <f t="shared" si="250"/>
        <v>2.193222941111964E-4</v>
      </c>
      <c r="N226" s="82">
        <f t="shared" si="250"/>
        <v>2.193222941111964E-4</v>
      </c>
      <c r="O226" s="82">
        <f t="shared" si="250"/>
        <v>2.193222941111964E-4</v>
      </c>
      <c r="P226" s="82">
        <f t="shared" si="250"/>
        <v>2.193222941111964E-4</v>
      </c>
      <c r="Q226" s="82">
        <f t="shared" ref="Q226:S226" si="251">1 / Q26</f>
        <v>2.193222941111964E-4</v>
      </c>
      <c r="R226" s="82">
        <f t="shared" si="251"/>
        <v>2.193222941111964E-4</v>
      </c>
      <c r="S226" s="82">
        <f t="shared" si="251"/>
        <v>2.193222941111964E-4</v>
      </c>
      <c r="T226" s="82">
        <f t="shared" si="250"/>
        <v>2.193222941111964E-4</v>
      </c>
      <c r="U226" s="82">
        <f t="shared" si="250"/>
        <v>2.193222941111964E-4</v>
      </c>
      <c r="V226" s="82">
        <f t="shared" si="250"/>
        <v>2.193222941111964E-4</v>
      </c>
      <c r="W226" s="82">
        <f t="shared" si="250"/>
        <v>2.193222941111964E-4</v>
      </c>
      <c r="X226" s="82">
        <f t="shared" si="250"/>
        <v>2.193222941111964E-4</v>
      </c>
      <c r="Y226" s="82">
        <f t="shared" si="250"/>
        <v>2.193222941111964E-4</v>
      </c>
      <c r="Z226" s="82">
        <f t="shared" si="250"/>
        <v>2.193222941111964E-4</v>
      </c>
      <c r="AA226" s="82">
        <f t="shared" si="250"/>
        <v>2.193222941111964E-4</v>
      </c>
      <c r="AB226" s="82">
        <f t="shared" si="250"/>
        <v>2.193222941111964E-4</v>
      </c>
    </row>
    <row r="227" spans="5:28" x14ac:dyDescent="0.25">
      <c r="G227" s="28"/>
      <c r="J227" s="89"/>
      <c r="K227" s="89"/>
      <c r="L227" s="89"/>
      <c r="M227" s="89"/>
      <c r="N227" s="89"/>
      <c r="O227" s="89"/>
      <c r="P227" s="89"/>
      <c r="Q227" s="89"/>
      <c r="R227" s="89"/>
      <c r="S227" s="89"/>
      <c r="T227" s="89"/>
      <c r="U227" s="89"/>
      <c r="V227" s="89"/>
      <c r="W227" s="89"/>
      <c r="X227" s="89"/>
      <c r="Y227" s="89"/>
      <c r="Z227" s="89"/>
      <c r="AA227" s="89"/>
      <c r="AB227" s="89"/>
    </row>
    <row r="228" spans="5:28" x14ac:dyDescent="0.25">
      <c r="E228" s="32" t="s">
        <v>155</v>
      </c>
      <c r="G228" s="28"/>
      <c r="J228" s="89"/>
      <c r="K228" s="89"/>
      <c r="L228" s="89"/>
      <c r="M228" s="89"/>
      <c r="N228" s="89"/>
      <c r="O228" s="89"/>
      <c r="P228" s="89"/>
      <c r="Q228" s="89"/>
      <c r="R228" s="89"/>
      <c r="S228" s="89"/>
      <c r="T228" s="89"/>
      <c r="U228" s="89"/>
      <c r="V228" s="89"/>
      <c r="W228" s="89"/>
      <c r="X228" s="89"/>
      <c r="Y228" s="89"/>
      <c r="Z228" s="89"/>
      <c r="AA228" s="89"/>
      <c r="AB228" s="89"/>
    </row>
    <row r="229" spans="5:28" x14ac:dyDescent="0.25">
      <c r="F229" s="159" t="s">
        <v>190</v>
      </c>
      <c r="G229" s="64" t="s">
        <v>282</v>
      </c>
      <c r="H229" s="23"/>
      <c r="I229" s="23"/>
      <c r="J229" s="153">
        <f>J177 * J$224 * hours_in_year</f>
        <v>8.2437183626517871</v>
      </c>
      <c r="K229" s="153">
        <f t="shared" ref="K229:AB229" si="252">K177 * K$224 * hours_in_year</f>
        <v>8.2437183626517871</v>
      </c>
      <c r="L229" s="153">
        <f t="shared" si="252"/>
        <v>8.2437183626517871</v>
      </c>
      <c r="M229" s="153">
        <f t="shared" si="252"/>
        <v>8.2437183626517871</v>
      </c>
      <c r="N229" s="153">
        <f t="shared" si="252"/>
        <v>8.2437183626517871</v>
      </c>
      <c r="O229" s="153">
        <f t="shared" si="252"/>
        <v>8.2437183626517871</v>
      </c>
      <c r="P229" s="153">
        <f t="shared" si="252"/>
        <v>8.2437183626517871</v>
      </c>
      <c r="Q229" s="153">
        <f t="shared" ref="Q229:S229" si="253">Q177 * Q$224 * hours_in_year</f>
        <v>8.2437183626517871</v>
      </c>
      <c r="R229" s="153">
        <f t="shared" si="253"/>
        <v>8.2437183626517871</v>
      </c>
      <c r="S229" s="153">
        <f t="shared" si="253"/>
        <v>8.2437183626517871</v>
      </c>
      <c r="T229" s="153">
        <f t="shared" si="252"/>
        <v>22.767550332995295</v>
      </c>
      <c r="U229" s="153">
        <f t="shared" si="252"/>
        <v>8.2437183626517871</v>
      </c>
      <c r="V229" s="153">
        <f t="shared" si="252"/>
        <v>8.2437183626517871</v>
      </c>
      <c r="W229" s="153">
        <f t="shared" si="252"/>
        <v>8.2437183626517871</v>
      </c>
      <c r="X229" s="153">
        <f t="shared" si="252"/>
        <v>8.2437183626517871</v>
      </c>
      <c r="Y229" s="153">
        <f t="shared" si="252"/>
        <v>8.2437183626517871</v>
      </c>
      <c r="Z229" s="153">
        <f t="shared" si="252"/>
        <v>8.2437183626517871</v>
      </c>
      <c r="AA229" s="153">
        <f t="shared" si="252"/>
        <v>8.2437183626517871</v>
      </c>
      <c r="AB229" s="153">
        <f t="shared" si="252"/>
        <v>8.2437183626517871</v>
      </c>
    </row>
    <row r="230" spans="5:28" x14ac:dyDescent="0.25">
      <c r="F230" s="160" t="s">
        <v>191</v>
      </c>
      <c r="G230" s="28" t="s">
        <v>282</v>
      </c>
      <c r="J230" s="153">
        <f t="shared" ref="J230:AB230" si="254">J182 * J224 * hours_in_year</f>
        <v>0</v>
      </c>
      <c r="K230" s="153">
        <f t="shared" si="254"/>
        <v>0</v>
      </c>
      <c r="L230" s="153">
        <f t="shared" si="254"/>
        <v>0</v>
      </c>
      <c r="M230" s="153">
        <f t="shared" si="254"/>
        <v>0</v>
      </c>
      <c r="N230" s="153">
        <f t="shared" si="254"/>
        <v>0</v>
      </c>
      <c r="O230" s="153">
        <f t="shared" si="254"/>
        <v>0</v>
      </c>
      <c r="P230" s="153">
        <f t="shared" si="254"/>
        <v>0</v>
      </c>
      <c r="Q230" s="153">
        <f t="shared" ref="Q230:S230" si="255">Q182 * Q224 * hours_in_year</f>
        <v>0</v>
      </c>
      <c r="R230" s="153">
        <f t="shared" si="255"/>
        <v>0</v>
      </c>
      <c r="S230" s="153">
        <f t="shared" si="255"/>
        <v>0</v>
      </c>
      <c r="T230" s="153">
        <f t="shared" si="254"/>
        <v>0</v>
      </c>
      <c r="U230" s="153">
        <f t="shared" si="254"/>
        <v>0</v>
      </c>
      <c r="V230" s="153">
        <f t="shared" si="254"/>
        <v>0</v>
      </c>
      <c r="W230" s="153">
        <f t="shared" si="254"/>
        <v>0</v>
      </c>
      <c r="X230" s="153">
        <f t="shared" si="254"/>
        <v>0</v>
      </c>
      <c r="Y230" s="153">
        <f t="shared" si="254"/>
        <v>0</v>
      </c>
      <c r="Z230" s="153">
        <f t="shared" si="254"/>
        <v>0</v>
      </c>
      <c r="AA230" s="153">
        <f t="shared" si="254"/>
        <v>0</v>
      </c>
      <c r="AB230" s="153">
        <f t="shared" si="254"/>
        <v>0</v>
      </c>
    </row>
    <row r="231" spans="5:28" x14ac:dyDescent="0.25">
      <c r="F231" s="160" t="s">
        <v>192</v>
      </c>
      <c r="G231" s="28" t="s">
        <v>282</v>
      </c>
      <c r="J231" s="153">
        <f t="shared" ref="J231:AB231" si="256">J187 * J224 * hours_in_year</f>
        <v>0</v>
      </c>
      <c r="K231" s="153">
        <f t="shared" si="256"/>
        <v>0</v>
      </c>
      <c r="L231" s="153">
        <f t="shared" si="256"/>
        <v>0</v>
      </c>
      <c r="M231" s="153">
        <f t="shared" si="256"/>
        <v>0</v>
      </c>
      <c r="N231" s="153">
        <f t="shared" si="256"/>
        <v>0</v>
      </c>
      <c r="O231" s="153">
        <f t="shared" si="256"/>
        <v>0</v>
      </c>
      <c r="P231" s="153">
        <f t="shared" si="256"/>
        <v>0</v>
      </c>
      <c r="Q231" s="153">
        <f t="shared" ref="Q231:S231" si="257">Q187 * Q224 * hours_in_year</f>
        <v>0</v>
      </c>
      <c r="R231" s="153">
        <f t="shared" si="257"/>
        <v>0</v>
      </c>
      <c r="S231" s="153">
        <f t="shared" si="257"/>
        <v>0</v>
      </c>
      <c r="T231" s="153">
        <f t="shared" si="256"/>
        <v>0</v>
      </c>
      <c r="U231" s="153">
        <f t="shared" si="256"/>
        <v>0</v>
      </c>
      <c r="V231" s="153">
        <f t="shared" si="256"/>
        <v>0</v>
      </c>
      <c r="W231" s="153">
        <f t="shared" si="256"/>
        <v>0</v>
      </c>
      <c r="X231" s="153">
        <f t="shared" si="256"/>
        <v>0</v>
      </c>
      <c r="Y231" s="153">
        <f t="shared" si="256"/>
        <v>0</v>
      </c>
      <c r="Z231" s="153">
        <f t="shared" si="256"/>
        <v>0</v>
      </c>
      <c r="AA231" s="153">
        <f t="shared" si="256"/>
        <v>0</v>
      </c>
      <c r="AB231" s="153">
        <f t="shared" si="256"/>
        <v>0</v>
      </c>
    </row>
    <row r="232" spans="5:28" x14ac:dyDescent="0.25">
      <c r="F232" s="160" t="s">
        <v>193</v>
      </c>
      <c r="G232" s="28" t="s">
        <v>282</v>
      </c>
      <c r="J232" s="153">
        <f t="shared" ref="J232:AB232" si="258">J192 * J224 * hours_in_year</f>
        <v>8.2437183626517871</v>
      </c>
      <c r="K232" s="153">
        <f t="shared" si="258"/>
        <v>8.2437183626517871</v>
      </c>
      <c r="L232" s="153">
        <f t="shared" si="258"/>
        <v>8.2437183626517871</v>
      </c>
      <c r="M232" s="153">
        <f t="shared" si="258"/>
        <v>8.2437183626517871</v>
      </c>
      <c r="N232" s="153">
        <f t="shared" si="258"/>
        <v>8.2437183626517871</v>
      </c>
      <c r="O232" s="153">
        <f t="shared" si="258"/>
        <v>8.2437183626517871</v>
      </c>
      <c r="P232" s="153">
        <f t="shared" si="258"/>
        <v>8.2437183626517871</v>
      </c>
      <c r="Q232" s="153">
        <f t="shared" ref="Q232:S232" si="259">Q192 * Q224 * hours_in_year</f>
        <v>8.2437183626517871</v>
      </c>
      <c r="R232" s="153">
        <f t="shared" si="259"/>
        <v>8.2437183626517871</v>
      </c>
      <c r="S232" s="153">
        <f t="shared" si="259"/>
        <v>8.2437183626517871</v>
      </c>
      <c r="T232" s="153">
        <f t="shared" si="258"/>
        <v>22.767550332995295</v>
      </c>
      <c r="U232" s="153">
        <f t="shared" si="258"/>
        <v>8.2437183626517871</v>
      </c>
      <c r="V232" s="153">
        <f t="shared" si="258"/>
        <v>8.2437183626517871</v>
      </c>
      <c r="W232" s="153">
        <f t="shared" si="258"/>
        <v>8.2437183626517871</v>
      </c>
      <c r="X232" s="153">
        <f t="shared" si="258"/>
        <v>8.2437183626517871</v>
      </c>
      <c r="Y232" s="153">
        <f t="shared" si="258"/>
        <v>8.2437183626517871</v>
      </c>
      <c r="Z232" s="153">
        <f t="shared" si="258"/>
        <v>8.2437183626517871</v>
      </c>
      <c r="AA232" s="153">
        <f t="shared" si="258"/>
        <v>8.2437183626517871</v>
      </c>
      <c r="AB232" s="153">
        <f t="shared" si="258"/>
        <v>8.2437183626517871</v>
      </c>
    </row>
    <row r="233" spans="5:28" x14ac:dyDescent="0.25">
      <c r="F233" s="160" t="s">
        <v>194</v>
      </c>
      <c r="G233" s="28" t="s">
        <v>282</v>
      </c>
      <c r="J233" s="153">
        <f t="shared" ref="J233:AB233" si="260">J197 * J224 * hours_in_year</f>
        <v>7.2216378064347033</v>
      </c>
      <c r="K233" s="153">
        <f t="shared" si="260"/>
        <v>7.2216378064347033</v>
      </c>
      <c r="L233" s="153">
        <f t="shared" si="260"/>
        <v>7.2216378064347033</v>
      </c>
      <c r="M233" s="153">
        <f t="shared" si="260"/>
        <v>7.2216378064347033</v>
      </c>
      <c r="N233" s="153">
        <f t="shared" si="260"/>
        <v>7.2216378064347033</v>
      </c>
      <c r="O233" s="153">
        <f t="shared" si="260"/>
        <v>7.2216378064347033</v>
      </c>
      <c r="P233" s="153">
        <f t="shared" si="260"/>
        <v>7.2216378064347033</v>
      </c>
      <c r="Q233" s="153">
        <f t="shared" ref="Q233:S233" si="261">Q197 * Q224 * hours_in_year</f>
        <v>7.2216378064347033</v>
      </c>
      <c r="R233" s="153">
        <f t="shared" si="261"/>
        <v>7.2216378064347033</v>
      </c>
      <c r="S233" s="153">
        <f t="shared" si="261"/>
        <v>7.2216378064347033</v>
      </c>
      <c r="T233" s="153">
        <f t="shared" si="260"/>
        <v>20.545747859520507</v>
      </c>
      <c r="U233" s="153">
        <f t="shared" si="260"/>
        <v>7.2216378064347033</v>
      </c>
      <c r="V233" s="153">
        <f t="shared" si="260"/>
        <v>7.2216378064347033</v>
      </c>
      <c r="W233" s="153">
        <f t="shared" si="260"/>
        <v>7.2216378064347033</v>
      </c>
      <c r="X233" s="153">
        <f t="shared" si="260"/>
        <v>7.2216378064347033</v>
      </c>
      <c r="Y233" s="153">
        <f t="shared" si="260"/>
        <v>7.2216378064347033</v>
      </c>
      <c r="Z233" s="153">
        <f t="shared" si="260"/>
        <v>7.2216378064347033</v>
      </c>
      <c r="AA233" s="153">
        <f t="shared" si="260"/>
        <v>7.2216378064347033</v>
      </c>
      <c r="AB233" s="153">
        <f t="shared" si="260"/>
        <v>7.2216378064347033</v>
      </c>
    </row>
    <row r="234" spans="5:28" x14ac:dyDescent="0.25">
      <c r="F234" s="160" t="s">
        <v>195</v>
      </c>
      <c r="G234" s="28" t="s">
        <v>282</v>
      </c>
      <c r="J234" s="153">
        <f t="shared" ref="J234:AB234" si="262">J202 * J224 * hours_in_year</f>
        <v>0</v>
      </c>
      <c r="K234" s="153">
        <f t="shared" si="262"/>
        <v>0</v>
      </c>
      <c r="L234" s="153">
        <f t="shared" si="262"/>
        <v>0</v>
      </c>
      <c r="M234" s="153">
        <f t="shared" si="262"/>
        <v>0</v>
      </c>
      <c r="N234" s="153">
        <f t="shared" si="262"/>
        <v>0</v>
      </c>
      <c r="O234" s="153">
        <f t="shared" si="262"/>
        <v>0</v>
      </c>
      <c r="P234" s="153">
        <f t="shared" si="262"/>
        <v>0</v>
      </c>
      <c r="Q234" s="153">
        <f t="shared" ref="Q234:S234" si="263">Q202 * Q224 * hours_in_year</f>
        <v>0</v>
      </c>
      <c r="R234" s="153">
        <f t="shared" si="263"/>
        <v>0</v>
      </c>
      <c r="S234" s="153">
        <f t="shared" si="263"/>
        <v>0</v>
      </c>
      <c r="T234" s="153">
        <f t="shared" si="262"/>
        <v>0</v>
      </c>
      <c r="U234" s="153">
        <f t="shared" si="262"/>
        <v>0</v>
      </c>
      <c r="V234" s="153">
        <f t="shared" si="262"/>
        <v>0</v>
      </c>
      <c r="W234" s="153">
        <f t="shared" si="262"/>
        <v>0</v>
      </c>
      <c r="X234" s="153">
        <f t="shared" si="262"/>
        <v>0</v>
      </c>
      <c r="Y234" s="153">
        <f t="shared" si="262"/>
        <v>0</v>
      </c>
      <c r="Z234" s="153">
        <f t="shared" si="262"/>
        <v>0</v>
      </c>
      <c r="AA234" s="153">
        <f t="shared" si="262"/>
        <v>0</v>
      </c>
      <c r="AB234" s="153">
        <f t="shared" si="262"/>
        <v>0</v>
      </c>
    </row>
    <row r="235" spans="5:28" x14ac:dyDescent="0.25">
      <c r="F235" s="160" t="s">
        <v>196</v>
      </c>
      <c r="G235" s="28" t="s">
        <v>282</v>
      </c>
      <c r="J235" s="153">
        <f t="shared" ref="J235:AB235" si="264">J207 * J224 * hours_in_year</f>
        <v>7.2216378064347033</v>
      </c>
      <c r="K235" s="153">
        <f t="shared" si="264"/>
        <v>7.2216378064347033</v>
      </c>
      <c r="L235" s="153">
        <f t="shared" si="264"/>
        <v>7.2216378064347033</v>
      </c>
      <c r="M235" s="153">
        <f t="shared" si="264"/>
        <v>7.2216378064347033</v>
      </c>
      <c r="N235" s="153">
        <f t="shared" si="264"/>
        <v>7.2216378064347033</v>
      </c>
      <c r="O235" s="153">
        <f t="shared" si="264"/>
        <v>7.2216378064347033</v>
      </c>
      <c r="P235" s="153">
        <f t="shared" si="264"/>
        <v>7.2216378064347033</v>
      </c>
      <c r="Q235" s="153">
        <f t="shared" ref="Q235:S235" si="265">Q207 * Q224 * hours_in_year</f>
        <v>7.2216378064347033</v>
      </c>
      <c r="R235" s="153">
        <f t="shared" si="265"/>
        <v>7.2216378064347033</v>
      </c>
      <c r="S235" s="153">
        <f t="shared" si="265"/>
        <v>7.2216378064347033</v>
      </c>
      <c r="T235" s="153">
        <f t="shared" si="264"/>
        <v>20.545747859520507</v>
      </c>
      <c r="U235" s="153">
        <f t="shared" si="264"/>
        <v>7.2216378064347033</v>
      </c>
      <c r="V235" s="153">
        <f t="shared" si="264"/>
        <v>7.2216378064347033</v>
      </c>
      <c r="W235" s="153">
        <f t="shared" si="264"/>
        <v>7.2216378064347033</v>
      </c>
      <c r="X235" s="153">
        <f t="shared" si="264"/>
        <v>7.2216378064347033</v>
      </c>
      <c r="Y235" s="153">
        <f t="shared" si="264"/>
        <v>7.2216378064347033</v>
      </c>
      <c r="Z235" s="153">
        <f t="shared" si="264"/>
        <v>7.2216378064347033</v>
      </c>
      <c r="AA235" s="153">
        <f t="shared" si="264"/>
        <v>7.2216378064347033</v>
      </c>
      <c r="AB235" s="153">
        <f t="shared" si="264"/>
        <v>7.2216378064347033</v>
      </c>
    </row>
    <row r="236" spans="5:28" x14ac:dyDescent="0.25">
      <c r="F236" s="160" t="s">
        <v>197</v>
      </c>
      <c r="G236" s="28" t="s">
        <v>282</v>
      </c>
      <c r="J236" s="153">
        <f t="shared" ref="J236:AB236" si="266">J212 * J224 * hours_in_year</f>
        <v>7.2216378064347033</v>
      </c>
      <c r="K236" s="153">
        <f t="shared" si="266"/>
        <v>7.2216378064347033</v>
      </c>
      <c r="L236" s="153">
        <f t="shared" si="266"/>
        <v>7.2216378064347033</v>
      </c>
      <c r="M236" s="153">
        <f t="shared" si="266"/>
        <v>7.2216378064347033</v>
      </c>
      <c r="N236" s="153">
        <f t="shared" si="266"/>
        <v>7.2216378064347033</v>
      </c>
      <c r="O236" s="153">
        <f t="shared" si="266"/>
        <v>7.2216378064347033</v>
      </c>
      <c r="P236" s="153">
        <f t="shared" si="266"/>
        <v>7.2216378064347033</v>
      </c>
      <c r="Q236" s="153">
        <f t="shared" ref="Q236:S236" si="267">Q212 * Q224 * hours_in_year</f>
        <v>7.2216378064347033</v>
      </c>
      <c r="R236" s="153">
        <f t="shared" si="267"/>
        <v>7.2216378064347033</v>
      </c>
      <c r="S236" s="153">
        <f t="shared" si="267"/>
        <v>7.2216378064347033</v>
      </c>
      <c r="T236" s="153">
        <f t="shared" si="266"/>
        <v>20.545747859520507</v>
      </c>
      <c r="U236" s="153">
        <f t="shared" si="266"/>
        <v>7.2216378064347033</v>
      </c>
      <c r="V236" s="153">
        <f t="shared" si="266"/>
        <v>7.2216378064347033</v>
      </c>
      <c r="W236" s="153">
        <f t="shared" si="266"/>
        <v>7.2216378064347033</v>
      </c>
      <c r="X236" s="153">
        <f t="shared" si="266"/>
        <v>7.2216378064347033</v>
      </c>
      <c r="Y236" s="153">
        <f t="shared" si="266"/>
        <v>7.2216378064347033</v>
      </c>
      <c r="Z236" s="153">
        <f t="shared" si="266"/>
        <v>7.2216378064347033</v>
      </c>
      <c r="AA236" s="153">
        <f t="shared" si="266"/>
        <v>7.2216378064347033</v>
      </c>
      <c r="AB236" s="153">
        <f t="shared" si="266"/>
        <v>7.2216378064347033</v>
      </c>
    </row>
    <row r="237" spans="5:28" x14ac:dyDescent="0.25">
      <c r="F237" s="161" t="s">
        <v>198</v>
      </c>
      <c r="G237" s="67" t="s">
        <v>282</v>
      </c>
      <c r="H237" s="37"/>
      <c r="I237" s="37"/>
      <c r="J237" s="153">
        <f t="shared" ref="J237:AB237" si="268">J217 * J224 * hours_in_year</f>
        <v>7.2216378064347033</v>
      </c>
      <c r="K237" s="153">
        <f t="shared" si="268"/>
        <v>7.2216378064347033</v>
      </c>
      <c r="L237" s="153">
        <f t="shared" si="268"/>
        <v>7.2216378064347033</v>
      </c>
      <c r="M237" s="153">
        <f t="shared" si="268"/>
        <v>7.2216378064347033</v>
      </c>
      <c r="N237" s="153">
        <f t="shared" si="268"/>
        <v>7.2216378064347033</v>
      </c>
      <c r="O237" s="153">
        <f t="shared" si="268"/>
        <v>7.2216378064347033</v>
      </c>
      <c r="P237" s="153">
        <f t="shared" si="268"/>
        <v>7.2216378064347033</v>
      </c>
      <c r="Q237" s="153">
        <f t="shared" ref="Q237:S237" si="269">Q217 * Q224 * hours_in_year</f>
        <v>7.2216378064347033</v>
      </c>
      <c r="R237" s="153">
        <f t="shared" si="269"/>
        <v>7.2216378064347033</v>
      </c>
      <c r="S237" s="153">
        <f t="shared" si="269"/>
        <v>7.2216378064347033</v>
      </c>
      <c r="T237" s="153">
        <f t="shared" si="268"/>
        <v>20.545747859520507</v>
      </c>
      <c r="U237" s="153">
        <f t="shared" si="268"/>
        <v>7.2216378064347033</v>
      </c>
      <c r="V237" s="153">
        <f t="shared" si="268"/>
        <v>7.2216378064347033</v>
      </c>
      <c r="W237" s="153">
        <f t="shared" si="268"/>
        <v>7.2216378064347033</v>
      </c>
      <c r="X237" s="153">
        <f t="shared" si="268"/>
        <v>7.2216378064347033</v>
      </c>
      <c r="Y237" s="153">
        <f t="shared" si="268"/>
        <v>7.2216378064347033</v>
      </c>
      <c r="Z237" s="153">
        <f t="shared" si="268"/>
        <v>7.2216378064347033</v>
      </c>
      <c r="AA237" s="153">
        <f t="shared" si="268"/>
        <v>7.2216378064347033</v>
      </c>
      <c r="AB237" s="153">
        <f t="shared" si="268"/>
        <v>7.2216378064347033</v>
      </c>
    </row>
    <row r="238" spans="5:28" x14ac:dyDescent="0.25">
      <c r="G238" s="28"/>
      <c r="J238" s="98"/>
      <c r="K238" s="98"/>
      <c r="L238" s="98"/>
      <c r="M238" s="98"/>
      <c r="N238" s="98"/>
      <c r="O238" s="98"/>
      <c r="P238" s="98"/>
      <c r="Q238" s="98"/>
      <c r="R238" s="98"/>
      <c r="S238" s="98"/>
      <c r="T238" s="98"/>
      <c r="U238" s="98"/>
      <c r="V238" s="98"/>
      <c r="W238" s="98"/>
      <c r="X238" s="98"/>
      <c r="Y238" s="98"/>
      <c r="Z238" s="98"/>
      <c r="AA238" s="98"/>
      <c r="AB238" s="98"/>
    </row>
    <row r="239" spans="5:28" x14ac:dyDescent="0.25">
      <c r="E239" s="32" t="s">
        <v>156</v>
      </c>
      <c r="G239" s="28"/>
      <c r="J239" s="89"/>
      <c r="K239" s="89"/>
      <c r="L239" s="89"/>
      <c r="M239" s="89"/>
      <c r="N239" s="89"/>
      <c r="O239" s="89"/>
      <c r="P239" s="89"/>
      <c r="Q239" s="89"/>
      <c r="R239" s="89"/>
      <c r="S239" s="89"/>
      <c r="T239" s="89"/>
      <c r="U239" s="89"/>
      <c r="V239" s="89"/>
      <c r="W239" s="89"/>
      <c r="X239" s="89"/>
      <c r="Y239" s="89"/>
      <c r="Z239" s="89"/>
      <c r="AA239" s="89"/>
      <c r="AB239" s="89"/>
    </row>
    <row r="240" spans="5:28" x14ac:dyDescent="0.25">
      <c r="F240" s="64" t="s">
        <v>190</v>
      </c>
      <c r="G240" s="64" t="s">
        <v>282</v>
      </c>
      <c r="H240" s="23"/>
      <c r="I240" s="23"/>
      <c r="J240" s="153">
        <f t="shared" ref="J240:AB240" si="270">J178 * J225 * hours_in_year</f>
        <v>0.66039375936064448</v>
      </c>
      <c r="K240" s="153">
        <f t="shared" si="270"/>
        <v>0.66039375936064448</v>
      </c>
      <c r="L240" s="153">
        <f t="shared" si="270"/>
        <v>0.66039375936064448</v>
      </c>
      <c r="M240" s="153">
        <f t="shared" si="270"/>
        <v>0.66039375936064448</v>
      </c>
      <c r="N240" s="153">
        <f t="shared" si="270"/>
        <v>0.66039375936064448</v>
      </c>
      <c r="O240" s="153">
        <f t="shared" si="270"/>
        <v>0.66039375936064448</v>
      </c>
      <c r="P240" s="153">
        <f t="shared" si="270"/>
        <v>0.66039375936064448</v>
      </c>
      <c r="Q240" s="153">
        <f t="shared" ref="Q240:S240" si="271">Q178 * Q225 * hours_in_year</f>
        <v>0.66039375936064448</v>
      </c>
      <c r="R240" s="153">
        <f t="shared" si="271"/>
        <v>0.66039375936064448</v>
      </c>
      <c r="S240" s="153">
        <f t="shared" si="271"/>
        <v>0.66039375936064448</v>
      </c>
      <c r="T240" s="153">
        <f t="shared" si="270"/>
        <v>0.71977150657160782</v>
      </c>
      <c r="U240" s="153">
        <f t="shared" si="270"/>
        <v>0.66039375936064448</v>
      </c>
      <c r="V240" s="153">
        <f t="shared" si="270"/>
        <v>0.66039375936064448</v>
      </c>
      <c r="W240" s="153">
        <f t="shared" si="270"/>
        <v>0.66039375936064448</v>
      </c>
      <c r="X240" s="153">
        <f t="shared" si="270"/>
        <v>0.66039375936064448</v>
      </c>
      <c r="Y240" s="153">
        <f t="shared" si="270"/>
        <v>0.66039375936064448</v>
      </c>
      <c r="Z240" s="153">
        <f t="shared" si="270"/>
        <v>0.66039375936064448</v>
      </c>
      <c r="AA240" s="153">
        <f t="shared" si="270"/>
        <v>0.66039375936064448</v>
      </c>
      <c r="AB240" s="153">
        <f t="shared" si="270"/>
        <v>0.66039375936064448</v>
      </c>
    </row>
    <row r="241" spans="5:28" x14ac:dyDescent="0.25">
      <c r="F241" s="28" t="s">
        <v>191</v>
      </c>
      <c r="G241" s="28" t="s">
        <v>282</v>
      </c>
      <c r="J241" s="153">
        <f t="shared" ref="J241:AB241" si="272">J183 * J225 * hours_in_year</f>
        <v>0</v>
      </c>
      <c r="K241" s="153">
        <f t="shared" si="272"/>
        <v>0</v>
      </c>
      <c r="L241" s="153">
        <f t="shared" si="272"/>
        <v>0</v>
      </c>
      <c r="M241" s="153">
        <f t="shared" si="272"/>
        <v>0</v>
      </c>
      <c r="N241" s="153">
        <f t="shared" si="272"/>
        <v>0</v>
      </c>
      <c r="O241" s="153">
        <f t="shared" si="272"/>
        <v>0</v>
      </c>
      <c r="P241" s="153">
        <f t="shared" si="272"/>
        <v>0</v>
      </c>
      <c r="Q241" s="153">
        <f t="shared" ref="Q241:S241" si="273">Q183 * Q225 * hours_in_year</f>
        <v>0</v>
      </c>
      <c r="R241" s="153">
        <f t="shared" si="273"/>
        <v>0</v>
      </c>
      <c r="S241" s="153">
        <f t="shared" si="273"/>
        <v>0</v>
      </c>
      <c r="T241" s="153">
        <f t="shared" si="272"/>
        <v>0</v>
      </c>
      <c r="U241" s="153">
        <f t="shared" si="272"/>
        <v>0</v>
      </c>
      <c r="V241" s="153">
        <f t="shared" si="272"/>
        <v>0</v>
      </c>
      <c r="W241" s="153">
        <f t="shared" si="272"/>
        <v>0</v>
      </c>
      <c r="X241" s="153">
        <f t="shared" si="272"/>
        <v>0</v>
      </c>
      <c r="Y241" s="153">
        <f t="shared" si="272"/>
        <v>0</v>
      </c>
      <c r="Z241" s="153">
        <f t="shared" si="272"/>
        <v>0</v>
      </c>
      <c r="AA241" s="153">
        <f t="shared" si="272"/>
        <v>0</v>
      </c>
      <c r="AB241" s="153">
        <f t="shared" si="272"/>
        <v>0</v>
      </c>
    </row>
    <row r="242" spans="5:28" x14ac:dyDescent="0.25">
      <c r="F242" s="28" t="s">
        <v>192</v>
      </c>
      <c r="G242" s="28" t="s">
        <v>282</v>
      </c>
      <c r="J242" s="153">
        <f t="shared" ref="J242:AB242" si="274">J188 * J225 * hours_in_year</f>
        <v>0</v>
      </c>
      <c r="K242" s="153">
        <f t="shared" si="274"/>
        <v>0</v>
      </c>
      <c r="L242" s="153">
        <f t="shared" si="274"/>
        <v>0</v>
      </c>
      <c r="M242" s="153">
        <f t="shared" si="274"/>
        <v>0</v>
      </c>
      <c r="N242" s="153">
        <f t="shared" si="274"/>
        <v>0</v>
      </c>
      <c r="O242" s="153">
        <f t="shared" si="274"/>
        <v>0</v>
      </c>
      <c r="P242" s="153">
        <f t="shared" si="274"/>
        <v>0</v>
      </c>
      <c r="Q242" s="153">
        <f t="shared" ref="Q242:S242" si="275">Q188 * Q225 * hours_in_year</f>
        <v>0</v>
      </c>
      <c r="R242" s="153">
        <f t="shared" si="275"/>
        <v>0</v>
      </c>
      <c r="S242" s="153">
        <f t="shared" si="275"/>
        <v>0</v>
      </c>
      <c r="T242" s="153">
        <f t="shared" si="274"/>
        <v>0</v>
      </c>
      <c r="U242" s="153">
        <f t="shared" si="274"/>
        <v>0</v>
      </c>
      <c r="V242" s="153">
        <f t="shared" si="274"/>
        <v>0</v>
      </c>
      <c r="W242" s="153">
        <f t="shared" si="274"/>
        <v>0</v>
      </c>
      <c r="X242" s="153">
        <f t="shared" si="274"/>
        <v>0</v>
      </c>
      <c r="Y242" s="153">
        <f t="shared" si="274"/>
        <v>0</v>
      </c>
      <c r="Z242" s="153">
        <f t="shared" si="274"/>
        <v>0</v>
      </c>
      <c r="AA242" s="153">
        <f t="shared" si="274"/>
        <v>0</v>
      </c>
      <c r="AB242" s="153">
        <f t="shared" si="274"/>
        <v>0</v>
      </c>
    </row>
    <row r="243" spans="5:28" x14ac:dyDescent="0.25">
      <c r="F243" s="28" t="s">
        <v>193</v>
      </c>
      <c r="G243" s="28" t="s">
        <v>282</v>
      </c>
      <c r="J243" s="153">
        <f t="shared" ref="J243:AB243" si="276">J193 * J225 * hours_in_year</f>
        <v>0.66039375936064448</v>
      </c>
      <c r="K243" s="153">
        <f t="shared" si="276"/>
        <v>0.66039375936064448</v>
      </c>
      <c r="L243" s="153">
        <f t="shared" si="276"/>
        <v>0.66039375936064448</v>
      </c>
      <c r="M243" s="153">
        <f t="shared" si="276"/>
        <v>0.66039375936064448</v>
      </c>
      <c r="N243" s="153">
        <f t="shared" si="276"/>
        <v>0.66039375936064448</v>
      </c>
      <c r="O243" s="153">
        <f t="shared" si="276"/>
        <v>0.66039375936064448</v>
      </c>
      <c r="P243" s="153">
        <f t="shared" si="276"/>
        <v>0.66039375936064448</v>
      </c>
      <c r="Q243" s="153">
        <f t="shared" ref="Q243:S243" si="277">Q193 * Q225 * hours_in_year</f>
        <v>0.66039375936064448</v>
      </c>
      <c r="R243" s="153">
        <f t="shared" si="277"/>
        <v>0.66039375936064448</v>
      </c>
      <c r="S243" s="153">
        <f t="shared" si="277"/>
        <v>0.66039375936064448</v>
      </c>
      <c r="T243" s="153">
        <f t="shared" si="276"/>
        <v>0.71977150657160782</v>
      </c>
      <c r="U243" s="153">
        <f t="shared" si="276"/>
        <v>0.66039375936064448</v>
      </c>
      <c r="V243" s="153">
        <f t="shared" si="276"/>
        <v>0.66039375936064448</v>
      </c>
      <c r="W243" s="153">
        <f t="shared" si="276"/>
        <v>0.66039375936064448</v>
      </c>
      <c r="X243" s="153">
        <f t="shared" si="276"/>
        <v>0.66039375936064448</v>
      </c>
      <c r="Y243" s="153">
        <f t="shared" si="276"/>
        <v>0.66039375936064448</v>
      </c>
      <c r="Z243" s="153">
        <f t="shared" si="276"/>
        <v>0.66039375936064448</v>
      </c>
      <c r="AA243" s="153">
        <f t="shared" si="276"/>
        <v>0.66039375936064448</v>
      </c>
      <c r="AB243" s="153">
        <f t="shared" si="276"/>
        <v>0.66039375936064448</v>
      </c>
    </row>
    <row r="244" spans="5:28" x14ac:dyDescent="0.25">
      <c r="F244" s="28" t="s">
        <v>194</v>
      </c>
      <c r="G244" s="28" t="s">
        <v>282</v>
      </c>
      <c r="J244" s="153">
        <f t="shared" ref="J244:AB244" si="278">J198 * J225 * hours_in_year</f>
        <v>0.86926835292184057</v>
      </c>
      <c r="K244" s="153">
        <f t="shared" si="278"/>
        <v>0.86926835292184057</v>
      </c>
      <c r="L244" s="153">
        <f t="shared" si="278"/>
        <v>0.86926835292184057</v>
      </c>
      <c r="M244" s="153">
        <f t="shared" si="278"/>
        <v>0.86926835292184057</v>
      </c>
      <c r="N244" s="153">
        <f t="shared" si="278"/>
        <v>0.86926835292184057</v>
      </c>
      <c r="O244" s="153">
        <f t="shared" si="278"/>
        <v>0.86926835292184057</v>
      </c>
      <c r="P244" s="153">
        <f t="shared" si="278"/>
        <v>0.86926835292184057</v>
      </c>
      <c r="Q244" s="153">
        <f t="shared" ref="Q244:S244" si="279">Q198 * Q225 * hours_in_year</f>
        <v>0.86926835292184057</v>
      </c>
      <c r="R244" s="153">
        <f t="shared" si="279"/>
        <v>0.86926835292184057</v>
      </c>
      <c r="S244" s="153">
        <f t="shared" si="279"/>
        <v>0.86926835292184057</v>
      </c>
      <c r="T244" s="153">
        <f t="shared" si="278"/>
        <v>0.84323755251552845</v>
      </c>
      <c r="U244" s="153">
        <f t="shared" si="278"/>
        <v>0.86926835292184057</v>
      </c>
      <c r="V244" s="153">
        <f t="shared" si="278"/>
        <v>0.86926835292184057</v>
      </c>
      <c r="W244" s="153">
        <f t="shared" si="278"/>
        <v>0.86926835292184057</v>
      </c>
      <c r="X244" s="153">
        <f t="shared" si="278"/>
        <v>0.86926835292184057</v>
      </c>
      <c r="Y244" s="153">
        <f t="shared" si="278"/>
        <v>0.86926835292184057</v>
      </c>
      <c r="Z244" s="153">
        <f t="shared" si="278"/>
        <v>0.86926835292184057</v>
      </c>
      <c r="AA244" s="153">
        <f t="shared" si="278"/>
        <v>0.86926835292184057</v>
      </c>
      <c r="AB244" s="153">
        <f t="shared" si="278"/>
        <v>0.86926835292184057</v>
      </c>
    </row>
    <row r="245" spans="5:28" x14ac:dyDescent="0.25">
      <c r="F245" s="28" t="s">
        <v>195</v>
      </c>
      <c r="G245" s="28" t="s">
        <v>282</v>
      </c>
      <c r="J245" s="153">
        <f t="shared" ref="J245:AB245" si="280">J203 * J225 * hours_in_year</f>
        <v>0</v>
      </c>
      <c r="K245" s="153">
        <f t="shared" si="280"/>
        <v>0</v>
      </c>
      <c r="L245" s="153">
        <f t="shared" si="280"/>
        <v>0</v>
      </c>
      <c r="M245" s="153">
        <f t="shared" si="280"/>
        <v>0</v>
      </c>
      <c r="N245" s="153">
        <f t="shared" si="280"/>
        <v>0</v>
      </c>
      <c r="O245" s="153">
        <f t="shared" si="280"/>
        <v>0</v>
      </c>
      <c r="P245" s="153">
        <f t="shared" si="280"/>
        <v>0</v>
      </c>
      <c r="Q245" s="153">
        <f t="shared" ref="Q245:S245" si="281">Q203 * Q225 * hours_in_year</f>
        <v>0</v>
      </c>
      <c r="R245" s="153">
        <f t="shared" si="281"/>
        <v>0</v>
      </c>
      <c r="S245" s="153">
        <f t="shared" si="281"/>
        <v>0</v>
      </c>
      <c r="T245" s="153">
        <f t="shared" si="280"/>
        <v>0</v>
      </c>
      <c r="U245" s="153">
        <f t="shared" si="280"/>
        <v>0</v>
      </c>
      <c r="V245" s="153">
        <f t="shared" si="280"/>
        <v>0</v>
      </c>
      <c r="W245" s="153">
        <f t="shared" si="280"/>
        <v>0</v>
      </c>
      <c r="X245" s="153">
        <f t="shared" si="280"/>
        <v>0</v>
      </c>
      <c r="Y245" s="153">
        <f t="shared" si="280"/>
        <v>0</v>
      </c>
      <c r="Z245" s="153">
        <f t="shared" si="280"/>
        <v>0</v>
      </c>
      <c r="AA245" s="153">
        <f t="shared" si="280"/>
        <v>0</v>
      </c>
      <c r="AB245" s="153">
        <f t="shared" si="280"/>
        <v>0</v>
      </c>
    </row>
    <row r="246" spans="5:28" x14ac:dyDescent="0.25">
      <c r="F246" s="28" t="s">
        <v>196</v>
      </c>
      <c r="G246" s="28" t="s">
        <v>282</v>
      </c>
      <c r="J246" s="153">
        <f t="shared" ref="J246:AB246" si="282">J208 * J225 * hours_in_year</f>
        <v>0.86926835292184057</v>
      </c>
      <c r="K246" s="153">
        <f t="shared" si="282"/>
        <v>0.86926835292184057</v>
      </c>
      <c r="L246" s="153">
        <f t="shared" si="282"/>
        <v>0.86926835292184057</v>
      </c>
      <c r="M246" s="153">
        <f t="shared" si="282"/>
        <v>0.86926835292184057</v>
      </c>
      <c r="N246" s="153">
        <f t="shared" si="282"/>
        <v>0.86926835292184057</v>
      </c>
      <c r="O246" s="153">
        <f t="shared" si="282"/>
        <v>0.86926835292184057</v>
      </c>
      <c r="P246" s="153">
        <f t="shared" si="282"/>
        <v>0.86926835292184057</v>
      </c>
      <c r="Q246" s="153">
        <f t="shared" ref="Q246:S246" si="283">Q208 * Q225 * hours_in_year</f>
        <v>0.86926835292184057</v>
      </c>
      <c r="R246" s="153">
        <f t="shared" si="283"/>
        <v>0.86926835292184057</v>
      </c>
      <c r="S246" s="153">
        <f t="shared" si="283"/>
        <v>0.86926835292184057</v>
      </c>
      <c r="T246" s="153">
        <f t="shared" si="282"/>
        <v>0.84323755251552845</v>
      </c>
      <c r="U246" s="153">
        <f t="shared" si="282"/>
        <v>0.86926835292184057</v>
      </c>
      <c r="V246" s="153">
        <f t="shared" si="282"/>
        <v>0.86926835292184057</v>
      </c>
      <c r="W246" s="153">
        <f t="shared" si="282"/>
        <v>0.86926835292184057</v>
      </c>
      <c r="X246" s="153">
        <f t="shared" si="282"/>
        <v>0.86926835292184057</v>
      </c>
      <c r="Y246" s="153">
        <f t="shared" si="282"/>
        <v>0.86926835292184057</v>
      </c>
      <c r="Z246" s="153">
        <f t="shared" si="282"/>
        <v>0.86926835292184057</v>
      </c>
      <c r="AA246" s="153">
        <f t="shared" si="282"/>
        <v>0.86926835292184057</v>
      </c>
      <c r="AB246" s="153">
        <f t="shared" si="282"/>
        <v>0.86926835292184057</v>
      </c>
    </row>
    <row r="247" spans="5:28" x14ac:dyDescent="0.25">
      <c r="F247" s="28" t="s">
        <v>197</v>
      </c>
      <c r="G247" s="28" t="s">
        <v>282</v>
      </c>
      <c r="J247" s="153">
        <f t="shared" ref="J247:AB247" si="284">J213 * J225 * hours_in_year</f>
        <v>0.86926835292184057</v>
      </c>
      <c r="K247" s="153">
        <f t="shared" si="284"/>
        <v>0.86926835292184057</v>
      </c>
      <c r="L247" s="153">
        <f t="shared" si="284"/>
        <v>0.86926835292184057</v>
      </c>
      <c r="M247" s="153">
        <f t="shared" si="284"/>
        <v>0.86926835292184057</v>
      </c>
      <c r="N247" s="153">
        <f t="shared" si="284"/>
        <v>0.86926835292184057</v>
      </c>
      <c r="O247" s="153">
        <f t="shared" si="284"/>
        <v>0.86926835292184057</v>
      </c>
      <c r="P247" s="153">
        <f t="shared" si="284"/>
        <v>0.86926835292184057</v>
      </c>
      <c r="Q247" s="153">
        <f t="shared" ref="Q247:S247" si="285">Q213 * Q225 * hours_in_year</f>
        <v>0.86926835292184057</v>
      </c>
      <c r="R247" s="153">
        <f t="shared" si="285"/>
        <v>0.86926835292184057</v>
      </c>
      <c r="S247" s="153">
        <f t="shared" si="285"/>
        <v>0.86926835292184057</v>
      </c>
      <c r="T247" s="153">
        <f t="shared" si="284"/>
        <v>0.84323755251552845</v>
      </c>
      <c r="U247" s="153">
        <f t="shared" si="284"/>
        <v>0.86926835292184057</v>
      </c>
      <c r="V247" s="153">
        <f t="shared" si="284"/>
        <v>0.86926835292184057</v>
      </c>
      <c r="W247" s="153">
        <f t="shared" si="284"/>
        <v>0.86926835292184057</v>
      </c>
      <c r="X247" s="153">
        <f t="shared" si="284"/>
        <v>0.86926835292184057</v>
      </c>
      <c r="Y247" s="153">
        <f t="shared" si="284"/>
        <v>0.86926835292184057</v>
      </c>
      <c r="Z247" s="153">
        <f t="shared" si="284"/>
        <v>0.86926835292184057</v>
      </c>
      <c r="AA247" s="153">
        <f t="shared" si="284"/>
        <v>0.86926835292184057</v>
      </c>
      <c r="AB247" s="153">
        <f t="shared" si="284"/>
        <v>0.86926835292184057</v>
      </c>
    </row>
    <row r="248" spans="5:28" x14ac:dyDescent="0.25">
      <c r="F248" s="67" t="s">
        <v>198</v>
      </c>
      <c r="G248" s="67" t="s">
        <v>282</v>
      </c>
      <c r="H248" s="37"/>
      <c r="I248" s="37"/>
      <c r="J248" s="153">
        <f t="shared" ref="J248:AB248" si="286">J218 * J225 * hours_in_year</f>
        <v>0.86926835292184057</v>
      </c>
      <c r="K248" s="153">
        <f t="shared" si="286"/>
        <v>0.86926835292184057</v>
      </c>
      <c r="L248" s="153">
        <f t="shared" si="286"/>
        <v>0.86926835292184057</v>
      </c>
      <c r="M248" s="153">
        <f t="shared" si="286"/>
        <v>0.86926835292184057</v>
      </c>
      <c r="N248" s="153">
        <f t="shared" si="286"/>
        <v>0.86926835292184057</v>
      </c>
      <c r="O248" s="153">
        <f t="shared" si="286"/>
        <v>0.86926835292184057</v>
      </c>
      <c r="P248" s="153">
        <f t="shared" si="286"/>
        <v>0.86926835292184057</v>
      </c>
      <c r="Q248" s="153">
        <f t="shared" ref="Q248:S248" si="287">Q218 * Q225 * hours_in_year</f>
        <v>0.86926835292184057</v>
      </c>
      <c r="R248" s="153">
        <f t="shared" si="287"/>
        <v>0.86926835292184057</v>
      </c>
      <c r="S248" s="153">
        <f t="shared" si="287"/>
        <v>0.86926835292184057</v>
      </c>
      <c r="T248" s="153">
        <f t="shared" si="286"/>
        <v>0.84323755251552845</v>
      </c>
      <c r="U248" s="153">
        <f t="shared" si="286"/>
        <v>0.86926835292184057</v>
      </c>
      <c r="V248" s="153">
        <f t="shared" si="286"/>
        <v>0.86926835292184057</v>
      </c>
      <c r="W248" s="153">
        <f t="shared" si="286"/>
        <v>0.86926835292184057</v>
      </c>
      <c r="X248" s="153">
        <f t="shared" si="286"/>
        <v>0.86926835292184057</v>
      </c>
      <c r="Y248" s="153">
        <f t="shared" si="286"/>
        <v>0.86926835292184057</v>
      </c>
      <c r="Z248" s="153">
        <f t="shared" si="286"/>
        <v>0.86926835292184057</v>
      </c>
      <c r="AA248" s="153">
        <f t="shared" si="286"/>
        <v>0.86926835292184057</v>
      </c>
      <c r="AB248" s="153">
        <f t="shared" si="286"/>
        <v>0.86926835292184057</v>
      </c>
    </row>
    <row r="249" spans="5:28" x14ac:dyDescent="0.25">
      <c r="J249" s="89"/>
      <c r="K249" s="89"/>
      <c r="L249" s="89"/>
      <c r="M249" s="89"/>
      <c r="N249" s="89"/>
      <c r="O249" s="89"/>
      <c r="P249" s="89"/>
      <c r="Q249" s="89"/>
      <c r="R249" s="89"/>
      <c r="S249" s="89"/>
      <c r="T249" s="89"/>
      <c r="U249" s="89"/>
      <c r="V249" s="89"/>
      <c r="W249" s="89"/>
      <c r="X249" s="89"/>
      <c r="Y249" s="89"/>
      <c r="Z249" s="89"/>
      <c r="AA249" s="89"/>
      <c r="AB249" s="89"/>
    </row>
    <row r="250" spans="5:28" x14ac:dyDescent="0.25">
      <c r="E250" s="32" t="s">
        <v>157</v>
      </c>
      <c r="G250" s="28"/>
      <c r="J250" s="89"/>
      <c r="K250" s="89"/>
      <c r="L250" s="89"/>
      <c r="M250" s="89"/>
      <c r="N250" s="89"/>
      <c r="O250" s="89"/>
      <c r="P250" s="89"/>
      <c r="Q250" s="89"/>
      <c r="R250" s="89"/>
      <c r="S250" s="89"/>
      <c r="T250" s="89"/>
      <c r="U250" s="89"/>
      <c r="V250" s="89"/>
      <c r="W250" s="89"/>
      <c r="X250" s="89"/>
      <c r="Y250" s="89"/>
      <c r="Z250" s="89"/>
      <c r="AA250" s="89"/>
      <c r="AB250" s="89"/>
    </row>
    <row r="251" spans="5:28" x14ac:dyDescent="0.25">
      <c r="F251" s="64" t="s">
        <v>190</v>
      </c>
      <c r="G251" s="64" t="s">
        <v>282</v>
      </c>
      <c r="H251" s="23"/>
      <c r="I251" s="23"/>
      <c r="J251" s="153">
        <f t="shared" ref="J251:AB251" si="288">J179 * J226 * hours_in_year</f>
        <v>1.0587312079975646E-2</v>
      </c>
      <c r="K251" s="153">
        <f t="shared" si="288"/>
        <v>1.0587312079975646E-2</v>
      </c>
      <c r="L251" s="153">
        <f t="shared" si="288"/>
        <v>1.0587312079975646E-2</v>
      </c>
      <c r="M251" s="153">
        <f t="shared" si="288"/>
        <v>1.0587312079975646E-2</v>
      </c>
      <c r="N251" s="153">
        <f t="shared" si="288"/>
        <v>1.0587312079975646E-2</v>
      </c>
      <c r="O251" s="153">
        <f t="shared" si="288"/>
        <v>1.0587312079975646E-2</v>
      </c>
      <c r="P251" s="153">
        <f t="shared" si="288"/>
        <v>1.0587312079975646E-2</v>
      </c>
      <c r="Q251" s="153">
        <f t="shared" ref="Q251:S251" si="289">Q179 * Q226 * hours_in_year</f>
        <v>1.0587312079975646E-2</v>
      </c>
      <c r="R251" s="153">
        <f t="shared" si="289"/>
        <v>1.0587312079975646E-2</v>
      </c>
      <c r="S251" s="153">
        <f t="shared" si="289"/>
        <v>1.0587312079975646E-2</v>
      </c>
      <c r="T251" s="153">
        <f t="shared" si="288"/>
        <v>1.0587312079975646E-2</v>
      </c>
      <c r="U251" s="153">
        <f t="shared" si="288"/>
        <v>1.0587312079975646E-2</v>
      </c>
      <c r="V251" s="153">
        <f t="shared" si="288"/>
        <v>1.0587312079975646E-2</v>
      </c>
      <c r="W251" s="153">
        <f t="shared" si="288"/>
        <v>1.0587312079975646E-2</v>
      </c>
      <c r="X251" s="153">
        <f t="shared" si="288"/>
        <v>1.0587312079975646E-2</v>
      </c>
      <c r="Y251" s="153">
        <f t="shared" si="288"/>
        <v>1.0587312079975646E-2</v>
      </c>
      <c r="Z251" s="153">
        <f t="shared" si="288"/>
        <v>1.0587312079975646E-2</v>
      </c>
      <c r="AA251" s="153">
        <f t="shared" si="288"/>
        <v>1.0587312079975646E-2</v>
      </c>
      <c r="AB251" s="153">
        <f t="shared" si="288"/>
        <v>1.0587312079975646E-2</v>
      </c>
    </row>
    <row r="252" spans="5:28" x14ac:dyDescent="0.25">
      <c r="F252" s="28" t="s">
        <v>191</v>
      </c>
      <c r="G252" s="28" t="s">
        <v>282</v>
      </c>
      <c r="J252" s="153">
        <f t="shared" ref="J252:AB252" si="290">J184 * J226 * hours_in_year</f>
        <v>0</v>
      </c>
      <c r="K252" s="153">
        <f t="shared" si="290"/>
        <v>0</v>
      </c>
      <c r="L252" s="153">
        <f t="shared" si="290"/>
        <v>0</v>
      </c>
      <c r="M252" s="153">
        <f t="shared" si="290"/>
        <v>0</v>
      </c>
      <c r="N252" s="153">
        <f t="shared" si="290"/>
        <v>0</v>
      </c>
      <c r="O252" s="153">
        <f t="shared" si="290"/>
        <v>0</v>
      </c>
      <c r="P252" s="153">
        <f t="shared" si="290"/>
        <v>0</v>
      </c>
      <c r="Q252" s="153">
        <f t="shared" ref="Q252:S252" si="291">Q184 * Q226 * hours_in_year</f>
        <v>0</v>
      </c>
      <c r="R252" s="153">
        <f t="shared" si="291"/>
        <v>0</v>
      </c>
      <c r="S252" s="153">
        <f t="shared" si="291"/>
        <v>0</v>
      </c>
      <c r="T252" s="153">
        <f t="shared" si="290"/>
        <v>0</v>
      </c>
      <c r="U252" s="153">
        <f t="shared" si="290"/>
        <v>0</v>
      </c>
      <c r="V252" s="153">
        <f t="shared" si="290"/>
        <v>0</v>
      </c>
      <c r="W252" s="153">
        <f t="shared" si="290"/>
        <v>0</v>
      </c>
      <c r="X252" s="153">
        <f t="shared" si="290"/>
        <v>0</v>
      </c>
      <c r="Y252" s="153">
        <f t="shared" si="290"/>
        <v>0</v>
      </c>
      <c r="Z252" s="153">
        <f t="shared" si="290"/>
        <v>0</v>
      </c>
      <c r="AA252" s="153">
        <f t="shared" si="290"/>
        <v>0</v>
      </c>
      <c r="AB252" s="153">
        <f t="shared" si="290"/>
        <v>0</v>
      </c>
    </row>
    <row r="253" spans="5:28" x14ac:dyDescent="0.25">
      <c r="F253" s="28" t="s">
        <v>192</v>
      </c>
      <c r="G253" s="28" t="s">
        <v>282</v>
      </c>
      <c r="J253" s="153">
        <f t="shared" ref="J253:AB253" si="292">J189 * J226 * hours_in_year</f>
        <v>0</v>
      </c>
      <c r="K253" s="153">
        <f t="shared" si="292"/>
        <v>0</v>
      </c>
      <c r="L253" s="153">
        <f t="shared" si="292"/>
        <v>0</v>
      </c>
      <c r="M253" s="153">
        <f t="shared" si="292"/>
        <v>0</v>
      </c>
      <c r="N253" s="153">
        <f t="shared" si="292"/>
        <v>0</v>
      </c>
      <c r="O253" s="153">
        <f t="shared" si="292"/>
        <v>0</v>
      </c>
      <c r="P253" s="153">
        <f t="shared" si="292"/>
        <v>0</v>
      </c>
      <c r="Q253" s="153">
        <f t="shared" ref="Q253:S253" si="293">Q189 * Q226 * hours_in_year</f>
        <v>0</v>
      </c>
      <c r="R253" s="153">
        <f t="shared" si="293"/>
        <v>0</v>
      </c>
      <c r="S253" s="153">
        <f t="shared" si="293"/>
        <v>0</v>
      </c>
      <c r="T253" s="153">
        <f t="shared" si="292"/>
        <v>0</v>
      </c>
      <c r="U253" s="153">
        <f t="shared" si="292"/>
        <v>0</v>
      </c>
      <c r="V253" s="153">
        <f t="shared" si="292"/>
        <v>0</v>
      </c>
      <c r="W253" s="153">
        <f t="shared" si="292"/>
        <v>0</v>
      </c>
      <c r="X253" s="153">
        <f t="shared" si="292"/>
        <v>0</v>
      </c>
      <c r="Y253" s="153">
        <f t="shared" si="292"/>
        <v>0</v>
      </c>
      <c r="Z253" s="153">
        <f t="shared" si="292"/>
        <v>0</v>
      </c>
      <c r="AA253" s="153">
        <f t="shared" si="292"/>
        <v>0</v>
      </c>
      <c r="AB253" s="153">
        <f t="shared" si="292"/>
        <v>0</v>
      </c>
    </row>
    <row r="254" spans="5:28" x14ac:dyDescent="0.25">
      <c r="F254" s="28" t="s">
        <v>193</v>
      </c>
      <c r="G254" s="28" t="s">
        <v>282</v>
      </c>
      <c r="J254" s="153">
        <f t="shared" ref="J254:AB254" si="294">J194 * J226 * hours_in_year</f>
        <v>1.0587312079975646E-2</v>
      </c>
      <c r="K254" s="153">
        <f t="shared" si="294"/>
        <v>1.0587312079975646E-2</v>
      </c>
      <c r="L254" s="153">
        <f t="shared" si="294"/>
        <v>1.0587312079975646E-2</v>
      </c>
      <c r="M254" s="153">
        <f t="shared" si="294"/>
        <v>1.0587312079975646E-2</v>
      </c>
      <c r="N254" s="153">
        <f t="shared" si="294"/>
        <v>1.0587312079975646E-2</v>
      </c>
      <c r="O254" s="153">
        <f t="shared" si="294"/>
        <v>1.0587312079975646E-2</v>
      </c>
      <c r="P254" s="153">
        <f t="shared" si="294"/>
        <v>1.0587312079975646E-2</v>
      </c>
      <c r="Q254" s="153">
        <f t="shared" ref="Q254:S254" si="295">Q194 * Q226 * hours_in_year</f>
        <v>1.0587312079975646E-2</v>
      </c>
      <c r="R254" s="153">
        <f t="shared" si="295"/>
        <v>1.0587312079975646E-2</v>
      </c>
      <c r="S254" s="153">
        <f t="shared" si="295"/>
        <v>1.0587312079975646E-2</v>
      </c>
      <c r="T254" s="153">
        <f t="shared" si="294"/>
        <v>1.0587312079975646E-2</v>
      </c>
      <c r="U254" s="153">
        <f t="shared" si="294"/>
        <v>1.0587312079975646E-2</v>
      </c>
      <c r="V254" s="153">
        <f t="shared" si="294"/>
        <v>1.0587312079975646E-2</v>
      </c>
      <c r="W254" s="153">
        <f t="shared" si="294"/>
        <v>1.0587312079975646E-2</v>
      </c>
      <c r="X254" s="153">
        <f t="shared" si="294"/>
        <v>1.0587312079975646E-2</v>
      </c>
      <c r="Y254" s="153">
        <f t="shared" si="294"/>
        <v>1.0587312079975646E-2</v>
      </c>
      <c r="Z254" s="153">
        <f t="shared" si="294"/>
        <v>1.0587312079975646E-2</v>
      </c>
      <c r="AA254" s="153">
        <f t="shared" si="294"/>
        <v>1.0587312079975646E-2</v>
      </c>
      <c r="AB254" s="153">
        <f t="shared" si="294"/>
        <v>1.0587312079975646E-2</v>
      </c>
    </row>
    <row r="255" spans="5:28" x14ac:dyDescent="0.25">
      <c r="F255" s="28" t="s">
        <v>194</v>
      </c>
      <c r="G255" s="28" t="s">
        <v>282</v>
      </c>
      <c r="J255" s="153">
        <f t="shared" ref="J255:AB255" si="296">J199 * J226 * hours_in_year</f>
        <v>2.9549950970772461E-2</v>
      </c>
      <c r="K255" s="153">
        <f t="shared" si="296"/>
        <v>2.9549950970772461E-2</v>
      </c>
      <c r="L255" s="153">
        <f t="shared" si="296"/>
        <v>2.9549950970772461E-2</v>
      </c>
      <c r="M255" s="153">
        <f t="shared" si="296"/>
        <v>2.9549950970772461E-2</v>
      </c>
      <c r="N255" s="153">
        <f t="shared" si="296"/>
        <v>2.9549950970772461E-2</v>
      </c>
      <c r="O255" s="153">
        <f t="shared" si="296"/>
        <v>2.9549950970772461E-2</v>
      </c>
      <c r="P255" s="153">
        <f t="shared" si="296"/>
        <v>2.9549950970772461E-2</v>
      </c>
      <c r="Q255" s="153">
        <f t="shared" ref="Q255:S255" si="297">Q199 * Q226 * hours_in_year</f>
        <v>2.9549950970772461E-2</v>
      </c>
      <c r="R255" s="153">
        <f t="shared" si="297"/>
        <v>2.9549950970772461E-2</v>
      </c>
      <c r="S255" s="153">
        <f t="shared" si="297"/>
        <v>2.9549950970772461E-2</v>
      </c>
      <c r="T255" s="153">
        <f t="shared" si="296"/>
        <v>2.9549950970772461E-2</v>
      </c>
      <c r="U255" s="153">
        <f t="shared" si="296"/>
        <v>2.9549950970772461E-2</v>
      </c>
      <c r="V255" s="153">
        <f t="shared" si="296"/>
        <v>2.9549950970772461E-2</v>
      </c>
      <c r="W255" s="153">
        <f t="shared" si="296"/>
        <v>2.9549950970772461E-2</v>
      </c>
      <c r="X255" s="153">
        <f t="shared" si="296"/>
        <v>2.9549950970772461E-2</v>
      </c>
      <c r="Y255" s="153">
        <f t="shared" si="296"/>
        <v>2.9549950970772461E-2</v>
      </c>
      <c r="Z255" s="153">
        <f t="shared" si="296"/>
        <v>2.9549950970772461E-2</v>
      </c>
      <c r="AA255" s="153">
        <f t="shared" si="296"/>
        <v>2.9549950970772461E-2</v>
      </c>
      <c r="AB255" s="153">
        <f t="shared" si="296"/>
        <v>2.9549950970772461E-2</v>
      </c>
    </row>
    <row r="256" spans="5:28" x14ac:dyDescent="0.25">
      <c r="F256" s="28" t="s">
        <v>195</v>
      </c>
      <c r="G256" s="28" t="s">
        <v>282</v>
      </c>
      <c r="J256" s="153">
        <f t="shared" ref="J256:AB256" si="298">J204 * J226 * hours_in_year</f>
        <v>0</v>
      </c>
      <c r="K256" s="153">
        <f t="shared" si="298"/>
        <v>0</v>
      </c>
      <c r="L256" s="153">
        <f t="shared" si="298"/>
        <v>0</v>
      </c>
      <c r="M256" s="153">
        <f t="shared" si="298"/>
        <v>0</v>
      </c>
      <c r="N256" s="153">
        <f t="shared" si="298"/>
        <v>0</v>
      </c>
      <c r="O256" s="153">
        <f t="shared" si="298"/>
        <v>0</v>
      </c>
      <c r="P256" s="153">
        <f t="shared" si="298"/>
        <v>0</v>
      </c>
      <c r="Q256" s="153">
        <f t="shared" ref="Q256:S256" si="299">Q204 * Q226 * hours_in_year</f>
        <v>0</v>
      </c>
      <c r="R256" s="153">
        <f t="shared" si="299"/>
        <v>0</v>
      </c>
      <c r="S256" s="153">
        <f t="shared" si="299"/>
        <v>0</v>
      </c>
      <c r="T256" s="153">
        <f t="shared" si="298"/>
        <v>0</v>
      </c>
      <c r="U256" s="153">
        <f t="shared" si="298"/>
        <v>0</v>
      </c>
      <c r="V256" s="153">
        <f t="shared" si="298"/>
        <v>0</v>
      </c>
      <c r="W256" s="153">
        <f t="shared" si="298"/>
        <v>0</v>
      </c>
      <c r="X256" s="153">
        <f t="shared" si="298"/>
        <v>0</v>
      </c>
      <c r="Y256" s="153">
        <f t="shared" si="298"/>
        <v>0</v>
      </c>
      <c r="Z256" s="153">
        <f t="shared" si="298"/>
        <v>0</v>
      </c>
      <c r="AA256" s="153">
        <f t="shared" si="298"/>
        <v>0</v>
      </c>
      <c r="AB256" s="153">
        <f t="shared" si="298"/>
        <v>0</v>
      </c>
    </row>
    <row r="257" spans="2:30" x14ac:dyDescent="0.25">
      <c r="F257" s="28" t="s">
        <v>196</v>
      </c>
      <c r="G257" s="28" t="s">
        <v>282</v>
      </c>
      <c r="J257" s="153">
        <f t="shared" ref="J257:AB257" si="300">J209 * J226 * hours_in_year</f>
        <v>2.9549950970772461E-2</v>
      </c>
      <c r="K257" s="153">
        <f t="shared" si="300"/>
        <v>2.9549950970772461E-2</v>
      </c>
      <c r="L257" s="153">
        <f t="shared" si="300"/>
        <v>2.9549950970772461E-2</v>
      </c>
      <c r="M257" s="153">
        <f t="shared" si="300"/>
        <v>2.9549950970772461E-2</v>
      </c>
      <c r="N257" s="153">
        <f t="shared" si="300"/>
        <v>2.9549950970772461E-2</v>
      </c>
      <c r="O257" s="153">
        <f t="shared" si="300"/>
        <v>2.9549950970772461E-2</v>
      </c>
      <c r="P257" s="153">
        <f t="shared" si="300"/>
        <v>2.9549950970772461E-2</v>
      </c>
      <c r="Q257" s="153">
        <f t="shared" ref="Q257:S257" si="301">Q209 * Q226 * hours_in_year</f>
        <v>2.9549950970772461E-2</v>
      </c>
      <c r="R257" s="153">
        <f t="shared" si="301"/>
        <v>2.9549950970772461E-2</v>
      </c>
      <c r="S257" s="153">
        <f t="shared" si="301"/>
        <v>2.9549950970772461E-2</v>
      </c>
      <c r="T257" s="153">
        <f t="shared" si="300"/>
        <v>2.9549950970772461E-2</v>
      </c>
      <c r="U257" s="153">
        <f t="shared" si="300"/>
        <v>2.9549950970772461E-2</v>
      </c>
      <c r="V257" s="153">
        <f t="shared" si="300"/>
        <v>2.9549950970772461E-2</v>
      </c>
      <c r="W257" s="153">
        <f t="shared" si="300"/>
        <v>2.9549950970772461E-2</v>
      </c>
      <c r="X257" s="153">
        <f t="shared" si="300"/>
        <v>2.9549950970772461E-2</v>
      </c>
      <c r="Y257" s="153">
        <f t="shared" si="300"/>
        <v>2.9549950970772461E-2</v>
      </c>
      <c r="Z257" s="153">
        <f t="shared" si="300"/>
        <v>2.9549950970772461E-2</v>
      </c>
      <c r="AA257" s="153">
        <f t="shared" si="300"/>
        <v>2.9549950970772461E-2</v>
      </c>
      <c r="AB257" s="153">
        <f t="shared" si="300"/>
        <v>2.9549950970772461E-2</v>
      </c>
    </row>
    <row r="258" spans="2:30" x14ac:dyDescent="0.25">
      <c r="F258" s="28" t="s">
        <v>197</v>
      </c>
      <c r="G258" s="28" t="s">
        <v>282</v>
      </c>
      <c r="J258" s="153">
        <f t="shared" ref="J258:AB258" si="302">J214 * J226 * hours_in_year</f>
        <v>2.9549950970772461E-2</v>
      </c>
      <c r="K258" s="153">
        <f t="shared" si="302"/>
        <v>2.9549950970772461E-2</v>
      </c>
      <c r="L258" s="153">
        <f t="shared" si="302"/>
        <v>2.9549950970772461E-2</v>
      </c>
      <c r="M258" s="153">
        <f t="shared" si="302"/>
        <v>2.9549950970772461E-2</v>
      </c>
      <c r="N258" s="153">
        <f t="shared" si="302"/>
        <v>2.9549950970772461E-2</v>
      </c>
      <c r="O258" s="153">
        <f t="shared" si="302"/>
        <v>2.9549950970772461E-2</v>
      </c>
      <c r="P258" s="153">
        <f t="shared" si="302"/>
        <v>2.9549950970772461E-2</v>
      </c>
      <c r="Q258" s="153">
        <f t="shared" ref="Q258:S258" si="303">Q214 * Q226 * hours_in_year</f>
        <v>2.9549950970772461E-2</v>
      </c>
      <c r="R258" s="153">
        <f t="shared" si="303"/>
        <v>2.9549950970772461E-2</v>
      </c>
      <c r="S258" s="153">
        <f t="shared" si="303"/>
        <v>2.9549950970772461E-2</v>
      </c>
      <c r="T258" s="153">
        <f t="shared" si="302"/>
        <v>2.9549950970772461E-2</v>
      </c>
      <c r="U258" s="153">
        <f t="shared" si="302"/>
        <v>2.9549950970772461E-2</v>
      </c>
      <c r="V258" s="153">
        <f t="shared" si="302"/>
        <v>2.9549950970772461E-2</v>
      </c>
      <c r="W258" s="153">
        <f t="shared" si="302"/>
        <v>2.9549950970772461E-2</v>
      </c>
      <c r="X258" s="153">
        <f t="shared" si="302"/>
        <v>2.9549950970772461E-2</v>
      </c>
      <c r="Y258" s="153">
        <f t="shared" si="302"/>
        <v>2.9549950970772461E-2</v>
      </c>
      <c r="Z258" s="153">
        <f t="shared" si="302"/>
        <v>2.9549950970772461E-2</v>
      </c>
      <c r="AA258" s="153">
        <f t="shared" si="302"/>
        <v>2.9549950970772461E-2</v>
      </c>
      <c r="AB258" s="153">
        <f t="shared" si="302"/>
        <v>2.9549950970772461E-2</v>
      </c>
    </row>
    <row r="259" spans="2:30" x14ac:dyDescent="0.25">
      <c r="F259" s="67" t="s">
        <v>198</v>
      </c>
      <c r="G259" s="67" t="s">
        <v>282</v>
      </c>
      <c r="H259" s="37"/>
      <c r="I259" s="37"/>
      <c r="J259" s="153">
        <f t="shared" ref="J259:AB259" si="304">J219 * J226 * hours_in_year</f>
        <v>2.9549950970772461E-2</v>
      </c>
      <c r="K259" s="153">
        <f t="shared" si="304"/>
        <v>2.9549950970772461E-2</v>
      </c>
      <c r="L259" s="153">
        <f t="shared" si="304"/>
        <v>2.9549950970772461E-2</v>
      </c>
      <c r="M259" s="153">
        <f t="shared" si="304"/>
        <v>2.9549950970772461E-2</v>
      </c>
      <c r="N259" s="153">
        <f t="shared" si="304"/>
        <v>2.9549950970772461E-2</v>
      </c>
      <c r="O259" s="153">
        <f t="shared" si="304"/>
        <v>2.9549950970772461E-2</v>
      </c>
      <c r="P259" s="153">
        <f t="shared" si="304"/>
        <v>2.9549950970772461E-2</v>
      </c>
      <c r="Q259" s="153">
        <f t="shared" ref="Q259:S259" si="305">Q219 * Q226 * hours_in_year</f>
        <v>2.9549950970772461E-2</v>
      </c>
      <c r="R259" s="153">
        <f t="shared" si="305"/>
        <v>2.9549950970772461E-2</v>
      </c>
      <c r="S259" s="153">
        <f t="shared" si="305"/>
        <v>2.9549950970772461E-2</v>
      </c>
      <c r="T259" s="153">
        <f t="shared" si="304"/>
        <v>2.9549950970772461E-2</v>
      </c>
      <c r="U259" s="153">
        <f t="shared" si="304"/>
        <v>2.9549950970772461E-2</v>
      </c>
      <c r="V259" s="153">
        <f t="shared" si="304"/>
        <v>2.9549950970772461E-2</v>
      </c>
      <c r="W259" s="153">
        <f t="shared" si="304"/>
        <v>2.9549950970772461E-2</v>
      </c>
      <c r="X259" s="153">
        <f t="shared" si="304"/>
        <v>2.9549950970772461E-2</v>
      </c>
      <c r="Y259" s="153">
        <f t="shared" si="304"/>
        <v>2.9549950970772461E-2</v>
      </c>
      <c r="Z259" s="153">
        <f t="shared" si="304"/>
        <v>2.9549950970772461E-2</v>
      </c>
      <c r="AA259" s="153">
        <f t="shared" si="304"/>
        <v>2.9549950970772461E-2</v>
      </c>
      <c r="AB259" s="153">
        <f t="shared" si="304"/>
        <v>2.9549950970772461E-2</v>
      </c>
    </row>
    <row r="260" spans="2:30" x14ac:dyDescent="0.25">
      <c r="J260" s="89"/>
      <c r="K260" s="89"/>
      <c r="L260" s="89"/>
      <c r="M260" s="89"/>
      <c r="N260" s="89"/>
      <c r="O260" s="89"/>
      <c r="P260" s="89"/>
      <c r="Q260" s="89"/>
      <c r="R260" s="89"/>
      <c r="S260" s="89"/>
      <c r="T260" s="89"/>
      <c r="U260" s="89"/>
      <c r="V260" s="89"/>
      <c r="W260" s="89"/>
      <c r="X260" s="89"/>
      <c r="Y260" s="89"/>
      <c r="Z260" s="89"/>
      <c r="AA260" s="89"/>
      <c r="AB260" s="89"/>
    </row>
    <row r="261" spans="2:30" x14ac:dyDescent="0.25">
      <c r="B261" s="30" t="s">
        <v>957</v>
      </c>
      <c r="C261" s="105"/>
      <c r="D261" s="104"/>
      <c r="E261" s="104"/>
      <c r="F261" s="105"/>
      <c r="G261" s="105"/>
      <c r="H261" s="105"/>
      <c r="I261" s="105"/>
      <c r="J261" s="162"/>
      <c r="K261" s="162"/>
      <c r="L261" s="162"/>
      <c r="M261" s="162"/>
      <c r="N261" s="162"/>
      <c r="O261" s="162"/>
      <c r="P261" s="162"/>
      <c r="Q261" s="162"/>
      <c r="R261" s="162"/>
      <c r="S261" s="162"/>
      <c r="T261" s="162"/>
      <c r="U261" s="162"/>
      <c r="V261" s="162"/>
      <c r="W261" s="162"/>
      <c r="X261" s="162"/>
      <c r="Y261" s="162"/>
      <c r="Z261" s="162"/>
      <c r="AA261" s="162"/>
      <c r="AB261" s="162"/>
      <c r="AC261" s="105"/>
      <c r="AD261" s="105"/>
    </row>
    <row r="262" spans="2:30" x14ac:dyDescent="0.25">
      <c r="F262" s="28"/>
      <c r="G262" s="28"/>
      <c r="J262" s="89"/>
      <c r="K262" s="89"/>
      <c r="L262" s="89"/>
      <c r="M262" s="89"/>
      <c r="N262" s="89"/>
      <c r="O262" s="89"/>
      <c r="P262" s="89"/>
      <c r="Q262" s="89"/>
      <c r="R262" s="89"/>
      <c r="S262" s="89"/>
      <c r="T262" s="89"/>
      <c r="U262" s="89"/>
      <c r="V262" s="89"/>
      <c r="W262" s="89"/>
      <c r="X262" s="89"/>
      <c r="Y262" s="89"/>
      <c r="Z262" s="89"/>
      <c r="AA262" s="89"/>
      <c r="AB262" s="89"/>
    </row>
    <row r="263" spans="2:30" x14ac:dyDescent="0.25">
      <c r="C263" s="29" t="s">
        <v>978</v>
      </c>
      <c r="F263" s="28"/>
      <c r="G263" s="28"/>
      <c r="J263" s="89"/>
      <c r="K263" s="89"/>
      <c r="L263" s="89"/>
      <c r="M263" s="89"/>
      <c r="N263" s="89"/>
      <c r="O263" s="89"/>
      <c r="P263" s="89"/>
      <c r="Q263" s="89"/>
      <c r="R263" s="89"/>
      <c r="S263" s="89"/>
      <c r="T263" s="89"/>
      <c r="U263" s="89"/>
      <c r="V263" s="89"/>
      <c r="W263" s="89"/>
      <c r="X263" s="89"/>
      <c r="Y263" s="89"/>
      <c r="Z263" s="89"/>
      <c r="AA263" s="89"/>
      <c r="AB263" s="89"/>
    </row>
    <row r="264" spans="2:30" x14ac:dyDescent="0.25">
      <c r="F264" s="28"/>
      <c r="G264" s="28"/>
      <c r="J264" s="89"/>
      <c r="K264" s="89"/>
      <c r="L264" s="89"/>
      <c r="M264" s="89"/>
      <c r="N264" s="89"/>
      <c r="O264" s="89"/>
      <c r="P264" s="89"/>
      <c r="Q264" s="89"/>
      <c r="R264" s="89"/>
      <c r="S264" s="89"/>
      <c r="T264" s="89"/>
      <c r="U264" s="89"/>
      <c r="V264" s="89"/>
      <c r="W264" s="89"/>
      <c r="X264" s="89"/>
      <c r="Y264" s="89"/>
      <c r="Z264" s="89"/>
      <c r="AA264" s="89"/>
      <c r="AB264" s="89"/>
    </row>
    <row r="265" spans="2:30" x14ac:dyDescent="0.25">
      <c r="C265" s="31" t="str">
        <f ca="1">INDEX('Version control'!$H$34:$H$57,MATCH($A$1,'Version control'!$F$34:$F$57,0),1)&amp;"-K: Load coefficient"</f>
        <v>Section 105-K: Load coefficient</v>
      </c>
      <c r="D265" s="31"/>
      <c r="E265" s="31"/>
      <c r="F265" s="31"/>
      <c r="G265" s="31"/>
      <c r="H265" s="31"/>
      <c r="I265" s="31"/>
      <c r="J265" s="90"/>
      <c r="K265" s="90"/>
      <c r="L265" s="90"/>
      <c r="M265" s="90"/>
      <c r="N265" s="90"/>
      <c r="O265" s="90"/>
      <c r="P265" s="90"/>
      <c r="Q265" s="90"/>
      <c r="R265" s="90"/>
      <c r="S265" s="90"/>
      <c r="T265" s="90"/>
      <c r="U265" s="90"/>
      <c r="V265" s="90"/>
      <c r="W265" s="90"/>
      <c r="X265" s="90"/>
      <c r="Y265" s="90"/>
      <c r="Z265" s="90"/>
      <c r="AA265" s="90"/>
      <c r="AB265" s="90"/>
      <c r="AC265" s="31"/>
      <c r="AD265" s="31"/>
    </row>
    <row r="266" spans="2:30" x14ac:dyDescent="0.25">
      <c r="F266" s="28"/>
      <c r="G266" s="28"/>
      <c r="J266" s="89"/>
      <c r="K266" s="89"/>
      <c r="L266" s="89"/>
      <c r="M266" s="89"/>
      <c r="N266" s="89"/>
      <c r="O266" s="89"/>
      <c r="P266" s="89"/>
      <c r="Q266" s="89"/>
      <c r="R266" s="89"/>
      <c r="S266" s="89"/>
      <c r="T266" s="89"/>
      <c r="U266" s="89"/>
      <c r="V266" s="89"/>
      <c r="W266" s="89"/>
      <c r="X266" s="89"/>
      <c r="Y266" s="89"/>
      <c r="Z266" s="89"/>
      <c r="AA266" s="89"/>
      <c r="AB266" s="89"/>
    </row>
    <row r="267" spans="2:30" x14ac:dyDescent="0.25">
      <c r="E267" s="28" t="s">
        <v>471</v>
      </c>
      <c r="G267" s="28" t="s">
        <v>282</v>
      </c>
      <c r="J267" s="121">
        <f>J91</f>
        <v>1.9139760190013639</v>
      </c>
      <c r="K267" s="121">
        <f t="shared" ref="K267:AB267" si="306">K91</f>
        <v>1.9139760190013639</v>
      </c>
      <c r="L267" s="121">
        <f t="shared" si="306"/>
        <v>1.5371051738770727</v>
      </c>
      <c r="M267" s="121">
        <f t="shared" si="306"/>
        <v>1.5371051738770727</v>
      </c>
      <c r="N267" s="121">
        <f t="shared" si="306"/>
        <v>1.40947242206235</v>
      </c>
      <c r="O267" s="121">
        <f t="shared" si="306"/>
        <v>1.1674925668979186</v>
      </c>
      <c r="P267" s="121">
        <f t="shared" si="306"/>
        <v>1.1495920217588396</v>
      </c>
      <c r="Q267" s="121">
        <f t="shared" si="306"/>
        <v>1.40947242206235</v>
      </c>
      <c r="R267" s="121">
        <f t="shared" si="306"/>
        <v>1.1674925668979186</v>
      </c>
      <c r="S267" s="121">
        <f t="shared" si="306"/>
        <v>1.1495920217588396</v>
      </c>
      <c r="T267" s="121">
        <f t="shared" si="306"/>
        <v>2.0203636363636366</v>
      </c>
      <c r="U267" s="121">
        <f t="shared" si="306"/>
        <v>1</v>
      </c>
      <c r="V267" s="121">
        <f t="shared" si="306"/>
        <v>1</v>
      </c>
      <c r="W267" s="121">
        <f t="shared" si="306"/>
        <v>1</v>
      </c>
      <c r="X267" s="121">
        <f t="shared" si="306"/>
        <v>1</v>
      </c>
      <c r="Y267" s="121">
        <f t="shared" si="306"/>
        <v>1</v>
      </c>
      <c r="Z267" s="121">
        <f t="shared" si="306"/>
        <v>1</v>
      </c>
      <c r="AA267" s="121">
        <f t="shared" si="306"/>
        <v>1</v>
      </c>
      <c r="AB267" s="121">
        <f t="shared" si="306"/>
        <v>1</v>
      </c>
    </row>
    <row r="268" spans="2:30" x14ac:dyDescent="0.25">
      <c r="F268" s="28"/>
      <c r="G268" s="28"/>
      <c r="J268" s="89"/>
      <c r="K268" s="89"/>
      <c r="L268" s="89"/>
      <c r="M268" s="89"/>
      <c r="N268" s="89"/>
      <c r="O268" s="89"/>
      <c r="P268" s="89"/>
      <c r="Q268" s="89"/>
      <c r="R268" s="89"/>
      <c r="S268" s="89"/>
      <c r="T268" s="89"/>
      <c r="U268" s="89"/>
      <c r="V268" s="89"/>
      <c r="W268" s="89"/>
      <c r="X268" s="89"/>
      <c r="Y268" s="89"/>
      <c r="Z268" s="89"/>
      <c r="AA268" s="89"/>
      <c r="AB268" s="89"/>
    </row>
    <row r="269" spans="2:30" x14ac:dyDescent="0.25">
      <c r="C269" s="31" t="str">
        <f ca="1">INDEX('Version control'!$H$34:$H$57,MATCH($A$1,'Version control'!$F$34:$F$57,0),1)&amp;"-L: Pseudo load coefficients, by unit rate"</f>
        <v>Section 105-L: Pseudo load coefficients, by unit rate</v>
      </c>
      <c r="D269" s="31"/>
      <c r="E269" s="31"/>
      <c r="F269" s="31"/>
      <c r="G269" s="31"/>
      <c r="H269" s="31"/>
      <c r="I269" s="31"/>
      <c r="J269" s="90"/>
      <c r="K269" s="90"/>
      <c r="L269" s="90"/>
      <c r="M269" s="90"/>
      <c r="N269" s="90"/>
      <c r="O269" s="90"/>
      <c r="P269" s="90"/>
      <c r="Q269" s="90"/>
      <c r="R269" s="90"/>
      <c r="S269" s="90"/>
      <c r="T269" s="90"/>
      <c r="U269" s="90"/>
      <c r="V269" s="90"/>
      <c r="W269" s="90"/>
      <c r="X269" s="90"/>
      <c r="Y269" s="90"/>
      <c r="Z269" s="90"/>
      <c r="AA269" s="90"/>
      <c r="AB269" s="90"/>
      <c r="AC269" s="31"/>
      <c r="AD269" s="31"/>
    </row>
    <row r="270" spans="2:30" x14ac:dyDescent="0.25">
      <c r="F270" s="28"/>
      <c r="G270" s="28"/>
      <c r="J270" s="89"/>
      <c r="K270" s="89"/>
      <c r="L270" s="89"/>
      <c r="M270" s="89"/>
      <c r="N270" s="89"/>
      <c r="O270" s="89"/>
      <c r="P270" s="89"/>
      <c r="Q270" s="89"/>
      <c r="R270" s="89"/>
      <c r="S270" s="89"/>
      <c r="T270" s="89"/>
      <c r="U270" s="89"/>
      <c r="V270" s="89"/>
      <c r="W270" s="89"/>
      <c r="X270" s="89"/>
      <c r="Y270" s="89"/>
      <c r="Z270" s="89"/>
      <c r="AA270" s="89"/>
      <c r="AB270" s="89"/>
    </row>
    <row r="271" spans="2:30" x14ac:dyDescent="0.25">
      <c r="E271" s="32" t="s">
        <v>155</v>
      </c>
      <c r="G271" s="28"/>
      <c r="J271" s="89"/>
      <c r="K271" s="89"/>
      <c r="L271" s="89"/>
      <c r="M271" s="89"/>
      <c r="N271" s="89"/>
      <c r="O271" s="89"/>
      <c r="P271" s="89"/>
      <c r="Q271" s="89"/>
      <c r="R271" s="89"/>
      <c r="S271" s="89"/>
      <c r="T271" s="89"/>
      <c r="U271" s="89"/>
      <c r="V271" s="89"/>
      <c r="W271" s="89"/>
      <c r="X271" s="89"/>
      <c r="Y271" s="89"/>
      <c r="Z271" s="89"/>
      <c r="AA271" s="89"/>
      <c r="AB271" s="89"/>
    </row>
    <row r="272" spans="2:30" x14ac:dyDescent="0.25">
      <c r="F272" s="64" t="s">
        <v>190</v>
      </c>
      <c r="G272" s="64" t="s">
        <v>282</v>
      </c>
      <c r="H272" s="23"/>
      <c r="I272" s="23"/>
      <c r="J272" s="101">
        <f>J229 * J$93</f>
        <v>11.527986422981362</v>
      </c>
      <c r="K272" s="101">
        <f t="shared" ref="K272:AB272" si="307">K229 * K$93</f>
        <v>11.527986422981362</v>
      </c>
      <c r="L272" s="101">
        <f t="shared" si="307"/>
        <v>13.389814573848861</v>
      </c>
      <c r="M272" s="101">
        <f t="shared" si="307"/>
        <v>13.389814573848861</v>
      </c>
      <c r="N272" s="101">
        <f t="shared" si="307"/>
        <v>10.350692230660494</v>
      </c>
      <c r="O272" s="101">
        <f t="shared" si="307"/>
        <v>8.8540614426759596</v>
      </c>
      <c r="P272" s="101">
        <f t="shared" si="307"/>
        <v>8.9869685862225737</v>
      </c>
      <c r="Q272" s="101">
        <f t="shared" ref="Q272:S272" si="308">Q229 * Q$93</f>
        <v>10.350692230660494</v>
      </c>
      <c r="R272" s="101">
        <f t="shared" si="308"/>
        <v>8.8540614426759596</v>
      </c>
      <c r="S272" s="101">
        <f t="shared" si="308"/>
        <v>8.9869685862225737</v>
      </c>
      <c r="T272" s="101">
        <f t="shared" si="307"/>
        <v>25.023867607119033</v>
      </c>
      <c r="U272" s="101">
        <f t="shared" si="307"/>
        <v>8.2437183626517871</v>
      </c>
      <c r="V272" s="101">
        <f t="shared" si="307"/>
        <v>8.2437183626517871</v>
      </c>
      <c r="W272" s="101">
        <f t="shared" si="307"/>
        <v>8.2437183626517871</v>
      </c>
      <c r="X272" s="101">
        <f t="shared" si="307"/>
        <v>8.2437183626517871</v>
      </c>
      <c r="Y272" s="101">
        <f t="shared" si="307"/>
        <v>8.2437183626517871</v>
      </c>
      <c r="Z272" s="101">
        <f t="shared" si="307"/>
        <v>8.2437183626517871</v>
      </c>
      <c r="AA272" s="101">
        <f t="shared" si="307"/>
        <v>8.2437183626517871</v>
      </c>
      <c r="AB272" s="101">
        <f t="shared" si="307"/>
        <v>8.2437183626517871</v>
      </c>
    </row>
    <row r="273" spans="5:28" x14ac:dyDescent="0.25">
      <c r="F273" s="28" t="s">
        <v>191</v>
      </c>
      <c r="G273" s="28" t="s">
        <v>282</v>
      </c>
      <c r="J273" s="121">
        <f t="shared" ref="J273:AB273" si="309">J230 * J$93</f>
        <v>0</v>
      </c>
      <c r="K273" s="121">
        <f t="shared" si="309"/>
        <v>0</v>
      </c>
      <c r="L273" s="121">
        <f t="shared" si="309"/>
        <v>0</v>
      </c>
      <c r="M273" s="121">
        <f t="shared" si="309"/>
        <v>0</v>
      </c>
      <c r="N273" s="121">
        <f t="shared" si="309"/>
        <v>0</v>
      </c>
      <c r="O273" s="121">
        <f t="shared" si="309"/>
        <v>0</v>
      </c>
      <c r="P273" s="121">
        <f t="shared" si="309"/>
        <v>0</v>
      </c>
      <c r="Q273" s="121">
        <f t="shared" ref="Q273:S273" si="310">Q230 * Q$93</f>
        <v>0</v>
      </c>
      <c r="R273" s="121">
        <f t="shared" si="310"/>
        <v>0</v>
      </c>
      <c r="S273" s="121">
        <f t="shared" si="310"/>
        <v>0</v>
      </c>
      <c r="T273" s="121">
        <f t="shared" si="309"/>
        <v>0</v>
      </c>
      <c r="U273" s="121">
        <f t="shared" si="309"/>
        <v>0</v>
      </c>
      <c r="V273" s="121">
        <f t="shared" si="309"/>
        <v>0</v>
      </c>
      <c r="W273" s="121">
        <f t="shared" si="309"/>
        <v>0</v>
      </c>
      <c r="X273" s="121">
        <f t="shared" si="309"/>
        <v>0</v>
      </c>
      <c r="Y273" s="121">
        <f t="shared" si="309"/>
        <v>0</v>
      </c>
      <c r="Z273" s="121">
        <f t="shared" si="309"/>
        <v>0</v>
      </c>
      <c r="AA273" s="121">
        <f t="shared" si="309"/>
        <v>0</v>
      </c>
      <c r="AB273" s="121">
        <f t="shared" si="309"/>
        <v>0</v>
      </c>
    </row>
    <row r="274" spans="5:28" x14ac:dyDescent="0.25">
      <c r="F274" s="28" t="s">
        <v>192</v>
      </c>
      <c r="G274" s="28" t="s">
        <v>282</v>
      </c>
      <c r="J274" s="121">
        <f t="shared" ref="J274:AB274" si="311">J231 * J$93</f>
        <v>0</v>
      </c>
      <c r="K274" s="121">
        <f t="shared" si="311"/>
        <v>0</v>
      </c>
      <c r="L274" s="121">
        <f t="shared" si="311"/>
        <v>0</v>
      </c>
      <c r="M274" s="121">
        <f t="shared" si="311"/>
        <v>0</v>
      </c>
      <c r="N274" s="121">
        <f t="shared" si="311"/>
        <v>0</v>
      </c>
      <c r="O274" s="121">
        <f t="shared" si="311"/>
        <v>0</v>
      </c>
      <c r="P274" s="121">
        <f t="shared" si="311"/>
        <v>0</v>
      </c>
      <c r="Q274" s="121">
        <f t="shared" ref="Q274:S274" si="312">Q231 * Q$93</f>
        <v>0</v>
      </c>
      <c r="R274" s="121">
        <f t="shared" si="312"/>
        <v>0</v>
      </c>
      <c r="S274" s="121">
        <f t="shared" si="312"/>
        <v>0</v>
      </c>
      <c r="T274" s="121">
        <f t="shared" si="311"/>
        <v>0</v>
      </c>
      <c r="U274" s="121">
        <f t="shared" si="311"/>
        <v>0</v>
      </c>
      <c r="V274" s="121">
        <f t="shared" si="311"/>
        <v>0</v>
      </c>
      <c r="W274" s="121">
        <f t="shared" si="311"/>
        <v>0</v>
      </c>
      <c r="X274" s="121">
        <f t="shared" si="311"/>
        <v>0</v>
      </c>
      <c r="Y274" s="121">
        <f t="shared" si="311"/>
        <v>0</v>
      </c>
      <c r="Z274" s="121">
        <f t="shared" si="311"/>
        <v>0</v>
      </c>
      <c r="AA274" s="121">
        <f t="shared" si="311"/>
        <v>0</v>
      </c>
      <c r="AB274" s="121">
        <f t="shared" si="311"/>
        <v>0</v>
      </c>
    </row>
    <row r="275" spans="5:28" x14ac:dyDescent="0.25">
      <c r="F275" s="28" t="s">
        <v>193</v>
      </c>
      <c r="G275" s="28" t="s">
        <v>282</v>
      </c>
      <c r="J275" s="121">
        <f t="shared" ref="J275:AB275" si="313">J232 * J$93</f>
        <v>11.527986422981362</v>
      </c>
      <c r="K275" s="121">
        <f t="shared" si="313"/>
        <v>11.527986422981362</v>
      </c>
      <c r="L275" s="121">
        <f t="shared" si="313"/>
        <v>13.389814573848861</v>
      </c>
      <c r="M275" s="121">
        <f t="shared" si="313"/>
        <v>13.389814573848861</v>
      </c>
      <c r="N275" s="121">
        <f t="shared" si="313"/>
        <v>10.350692230660494</v>
      </c>
      <c r="O275" s="121">
        <f t="shared" si="313"/>
        <v>8.8540614426759596</v>
      </c>
      <c r="P275" s="121">
        <f t="shared" si="313"/>
        <v>8.9869685862225737</v>
      </c>
      <c r="Q275" s="121">
        <f t="shared" ref="Q275:S275" si="314">Q232 * Q$93</f>
        <v>10.350692230660494</v>
      </c>
      <c r="R275" s="121">
        <f t="shared" si="314"/>
        <v>8.8540614426759596</v>
      </c>
      <c r="S275" s="121">
        <f t="shared" si="314"/>
        <v>8.9869685862225737</v>
      </c>
      <c r="T275" s="121">
        <f t="shared" si="313"/>
        <v>25.023867607119033</v>
      </c>
      <c r="U275" s="121">
        <f t="shared" si="313"/>
        <v>8.2437183626517871</v>
      </c>
      <c r="V275" s="121">
        <f t="shared" si="313"/>
        <v>8.2437183626517871</v>
      </c>
      <c r="W275" s="121">
        <f t="shared" si="313"/>
        <v>8.2437183626517871</v>
      </c>
      <c r="X275" s="121">
        <f t="shared" si="313"/>
        <v>8.2437183626517871</v>
      </c>
      <c r="Y275" s="121">
        <f t="shared" si="313"/>
        <v>8.2437183626517871</v>
      </c>
      <c r="Z275" s="121">
        <f t="shared" si="313"/>
        <v>8.2437183626517871</v>
      </c>
      <c r="AA275" s="121">
        <f t="shared" si="313"/>
        <v>8.2437183626517871</v>
      </c>
      <c r="AB275" s="121">
        <f t="shared" si="313"/>
        <v>8.2437183626517871</v>
      </c>
    </row>
    <row r="276" spans="5:28" x14ac:dyDescent="0.25">
      <c r="F276" s="28" t="s">
        <v>194</v>
      </c>
      <c r="G276" s="28" t="s">
        <v>282</v>
      </c>
      <c r="J276" s="121">
        <f t="shared" ref="J276:AB276" si="315">J233 * J$93</f>
        <v>10.098712610250859</v>
      </c>
      <c r="K276" s="121">
        <f t="shared" si="315"/>
        <v>10.098712610250859</v>
      </c>
      <c r="L276" s="121">
        <f t="shared" si="315"/>
        <v>11.729705806755948</v>
      </c>
      <c r="M276" s="121">
        <f t="shared" si="315"/>
        <v>11.729705806755948</v>
      </c>
      <c r="N276" s="121">
        <f t="shared" si="315"/>
        <v>9.0673828298596799</v>
      </c>
      <c r="O276" s="121">
        <f t="shared" si="315"/>
        <v>7.7563087483202686</v>
      </c>
      <c r="P276" s="121">
        <f t="shared" si="315"/>
        <v>7.8727376715753232</v>
      </c>
      <c r="Q276" s="121">
        <f t="shared" ref="Q276:S276" si="316">Q233 * Q$93</f>
        <v>9.0673828298596799</v>
      </c>
      <c r="R276" s="121">
        <f t="shared" si="316"/>
        <v>7.7563087483202686</v>
      </c>
      <c r="S276" s="121">
        <f t="shared" si="316"/>
        <v>7.8727376715753232</v>
      </c>
      <c r="T276" s="121">
        <f t="shared" si="315"/>
        <v>22.581879332920355</v>
      </c>
      <c r="U276" s="121">
        <f t="shared" si="315"/>
        <v>7.2216378064347033</v>
      </c>
      <c r="V276" s="121">
        <f t="shared" si="315"/>
        <v>7.2216378064347033</v>
      </c>
      <c r="W276" s="121">
        <f t="shared" si="315"/>
        <v>7.2216378064347033</v>
      </c>
      <c r="X276" s="121">
        <f t="shared" si="315"/>
        <v>7.2216378064347033</v>
      </c>
      <c r="Y276" s="121">
        <f t="shared" si="315"/>
        <v>7.2216378064347033</v>
      </c>
      <c r="Z276" s="121">
        <f t="shared" si="315"/>
        <v>7.2216378064347033</v>
      </c>
      <c r="AA276" s="121">
        <f t="shared" si="315"/>
        <v>7.2216378064347033</v>
      </c>
      <c r="AB276" s="121">
        <f t="shared" si="315"/>
        <v>7.2216378064347033</v>
      </c>
    </row>
    <row r="277" spans="5:28" x14ac:dyDescent="0.25">
      <c r="F277" s="28" t="s">
        <v>195</v>
      </c>
      <c r="G277" s="28" t="s">
        <v>282</v>
      </c>
      <c r="J277" s="121">
        <f t="shared" ref="J277:AB277" si="317">J234 * J$93</f>
        <v>0</v>
      </c>
      <c r="K277" s="121">
        <f t="shared" si="317"/>
        <v>0</v>
      </c>
      <c r="L277" s="121">
        <f t="shared" si="317"/>
        <v>0</v>
      </c>
      <c r="M277" s="121">
        <f t="shared" si="317"/>
        <v>0</v>
      </c>
      <c r="N277" s="121">
        <f t="shared" si="317"/>
        <v>0</v>
      </c>
      <c r="O277" s="121">
        <f t="shared" si="317"/>
        <v>0</v>
      </c>
      <c r="P277" s="121">
        <f t="shared" si="317"/>
        <v>0</v>
      </c>
      <c r="Q277" s="121">
        <f t="shared" ref="Q277:S277" si="318">Q234 * Q$93</f>
        <v>0</v>
      </c>
      <c r="R277" s="121">
        <f t="shared" si="318"/>
        <v>0</v>
      </c>
      <c r="S277" s="121">
        <f t="shared" si="318"/>
        <v>0</v>
      </c>
      <c r="T277" s="121">
        <f t="shared" si="317"/>
        <v>0</v>
      </c>
      <c r="U277" s="121">
        <f t="shared" si="317"/>
        <v>0</v>
      </c>
      <c r="V277" s="121">
        <f t="shared" si="317"/>
        <v>0</v>
      </c>
      <c r="W277" s="121">
        <f t="shared" si="317"/>
        <v>0</v>
      </c>
      <c r="X277" s="121">
        <f t="shared" si="317"/>
        <v>0</v>
      </c>
      <c r="Y277" s="121">
        <f t="shared" si="317"/>
        <v>0</v>
      </c>
      <c r="Z277" s="121">
        <f t="shared" si="317"/>
        <v>0</v>
      </c>
      <c r="AA277" s="121">
        <f t="shared" si="317"/>
        <v>0</v>
      </c>
      <c r="AB277" s="121">
        <f t="shared" si="317"/>
        <v>0</v>
      </c>
    </row>
    <row r="278" spans="5:28" x14ac:dyDescent="0.25">
      <c r="F278" s="28" t="s">
        <v>196</v>
      </c>
      <c r="G278" s="28" t="s">
        <v>282</v>
      </c>
      <c r="J278" s="121">
        <f t="shared" ref="J278:AB278" si="319">J235 * J$93</f>
        <v>10.098712610250859</v>
      </c>
      <c r="K278" s="121">
        <f t="shared" si="319"/>
        <v>10.098712610250859</v>
      </c>
      <c r="L278" s="121">
        <f t="shared" si="319"/>
        <v>11.729705806755948</v>
      </c>
      <c r="M278" s="121">
        <f t="shared" si="319"/>
        <v>11.729705806755948</v>
      </c>
      <c r="N278" s="121">
        <f t="shared" si="319"/>
        <v>9.0673828298596799</v>
      </c>
      <c r="O278" s="121">
        <f t="shared" si="319"/>
        <v>7.7563087483202686</v>
      </c>
      <c r="P278" s="121">
        <f t="shared" si="319"/>
        <v>7.8727376715753232</v>
      </c>
      <c r="Q278" s="121">
        <f t="shared" ref="Q278:S278" si="320">Q235 * Q$93</f>
        <v>9.0673828298596799</v>
      </c>
      <c r="R278" s="121">
        <f t="shared" si="320"/>
        <v>7.7563087483202686</v>
      </c>
      <c r="S278" s="121">
        <f t="shared" si="320"/>
        <v>7.8727376715753232</v>
      </c>
      <c r="T278" s="121">
        <f t="shared" si="319"/>
        <v>22.581879332920355</v>
      </c>
      <c r="U278" s="121">
        <f t="shared" si="319"/>
        <v>7.2216378064347033</v>
      </c>
      <c r="V278" s="121">
        <f t="shared" si="319"/>
        <v>7.2216378064347033</v>
      </c>
      <c r="W278" s="121">
        <f t="shared" si="319"/>
        <v>7.2216378064347033</v>
      </c>
      <c r="X278" s="121">
        <f t="shared" si="319"/>
        <v>7.2216378064347033</v>
      </c>
      <c r="Y278" s="121">
        <f t="shared" si="319"/>
        <v>7.2216378064347033</v>
      </c>
      <c r="Z278" s="121">
        <f t="shared" si="319"/>
        <v>7.2216378064347033</v>
      </c>
      <c r="AA278" s="121">
        <f t="shared" si="319"/>
        <v>7.2216378064347033</v>
      </c>
      <c r="AB278" s="121">
        <f t="shared" si="319"/>
        <v>7.2216378064347033</v>
      </c>
    </row>
    <row r="279" spans="5:28" x14ac:dyDescent="0.25">
      <c r="F279" s="28" t="s">
        <v>197</v>
      </c>
      <c r="G279" s="28" t="s">
        <v>282</v>
      </c>
      <c r="J279" s="121">
        <f t="shared" ref="J279:AB279" si="321">J236 * J$93</f>
        <v>10.098712610250859</v>
      </c>
      <c r="K279" s="121">
        <f t="shared" si="321"/>
        <v>10.098712610250859</v>
      </c>
      <c r="L279" s="121">
        <f t="shared" si="321"/>
        <v>11.729705806755948</v>
      </c>
      <c r="M279" s="121">
        <f t="shared" si="321"/>
        <v>11.729705806755948</v>
      </c>
      <c r="N279" s="121">
        <f t="shared" si="321"/>
        <v>9.0673828298596799</v>
      </c>
      <c r="O279" s="121">
        <f t="shared" si="321"/>
        <v>7.7563087483202686</v>
      </c>
      <c r="P279" s="121">
        <f t="shared" si="321"/>
        <v>7.8727376715753232</v>
      </c>
      <c r="Q279" s="121">
        <f t="shared" ref="Q279:S279" si="322">Q236 * Q$93</f>
        <v>9.0673828298596799</v>
      </c>
      <c r="R279" s="121">
        <f t="shared" si="322"/>
        <v>7.7563087483202686</v>
      </c>
      <c r="S279" s="121">
        <f t="shared" si="322"/>
        <v>7.8727376715753232</v>
      </c>
      <c r="T279" s="121">
        <f t="shared" si="321"/>
        <v>22.581879332920355</v>
      </c>
      <c r="U279" s="121">
        <f t="shared" si="321"/>
        <v>7.2216378064347033</v>
      </c>
      <c r="V279" s="121">
        <f t="shared" si="321"/>
        <v>7.2216378064347033</v>
      </c>
      <c r="W279" s="121">
        <f t="shared" si="321"/>
        <v>7.2216378064347033</v>
      </c>
      <c r="X279" s="121">
        <f t="shared" si="321"/>
        <v>7.2216378064347033</v>
      </c>
      <c r="Y279" s="121">
        <f t="shared" si="321"/>
        <v>7.2216378064347033</v>
      </c>
      <c r="Z279" s="121">
        <f t="shared" si="321"/>
        <v>7.2216378064347033</v>
      </c>
      <c r="AA279" s="121">
        <f t="shared" si="321"/>
        <v>7.2216378064347033</v>
      </c>
      <c r="AB279" s="121">
        <f t="shared" si="321"/>
        <v>7.2216378064347033</v>
      </c>
    </row>
    <row r="280" spans="5:28" x14ac:dyDescent="0.25">
      <c r="F280" s="67" t="s">
        <v>198</v>
      </c>
      <c r="G280" s="67" t="s">
        <v>282</v>
      </c>
      <c r="H280" s="37"/>
      <c r="I280" s="37"/>
      <c r="J280" s="131">
        <f t="shared" ref="J280:AB280" si="323">J237 * J$93</f>
        <v>10.098712610250859</v>
      </c>
      <c r="K280" s="131">
        <f t="shared" si="323"/>
        <v>10.098712610250859</v>
      </c>
      <c r="L280" s="131">
        <f t="shared" si="323"/>
        <v>11.729705806755948</v>
      </c>
      <c r="M280" s="131">
        <f t="shared" si="323"/>
        <v>11.729705806755948</v>
      </c>
      <c r="N280" s="131">
        <f t="shared" si="323"/>
        <v>9.0673828298596799</v>
      </c>
      <c r="O280" s="131">
        <f t="shared" si="323"/>
        <v>7.7563087483202686</v>
      </c>
      <c r="P280" s="131">
        <f t="shared" si="323"/>
        <v>7.8727376715753232</v>
      </c>
      <c r="Q280" s="131">
        <f t="shared" ref="Q280:S280" si="324">Q237 * Q$93</f>
        <v>9.0673828298596799</v>
      </c>
      <c r="R280" s="131">
        <f t="shared" si="324"/>
        <v>7.7563087483202686</v>
      </c>
      <c r="S280" s="131">
        <f t="shared" si="324"/>
        <v>7.8727376715753232</v>
      </c>
      <c r="T280" s="131">
        <f t="shared" si="323"/>
        <v>22.581879332920355</v>
      </c>
      <c r="U280" s="131">
        <f t="shared" si="323"/>
        <v>7.2216378064347033</v>
      </c>
      <c r="V280" s="131">
        <f t="shared" si="323"/>
        <v>7.2216378064347033</v>
      </c>
      <c r="W280" s="131">
        <f t="shared" si="323"/>
        <v>7.2216378064347033</v>
      </c>
      <c r="X280" s="131">
        <f t="shared" si="323"/>
        <v>7.2216378064347033</v>
      </c>
      <c r="Y280" s="131">
        <f t="shared" si="323"/>
        <v>7.2216378064347033</v>
      </c>
      <c r="Z280" s="131">
        <f t="shared" si="323"/>
        <v>7.2216378064347033</v>
      </c>
      <c r="AA280" s="131">
        <f t="shared" si="323"/>
        <v>7.2216378064347033</v>
      </c>
      <c r="AB280" s="131">
        <f t="shared" si="323"/>
        <v>7.2216378064347033</v>
      </c>
    </row>
    <row r="281" spans="5:28" x14ac:dyDescent="0.25">
      <c r="J281" s="89"/>
      <c r="K281" s="89"/>
      <c r="L281" s="89"/>
      <c r="M281" s="89"/>
      <c r="N281" s="89"/>
      <c r="O281" s="89"/>
      <c r="P281" s="89"/>
      <c r="Q281" s="89"/>
      <c r="R281" s="89"/>
      <c r="S281" s="89"/>
      <c r="T281" s="89"/>
      <c r="U281" s="89"/>
      <c r="V281" s="89"/>
      <c r="W281" s="89"/>
      <c r="X281" s="89"/>
      <c r="Y281" s="89"/>
      <c r="Z281" s="89"/>
      <c r="AA281" s="89"/>
      <c r="AB281" s="89"/>
    </row>
    <row r="282" spans="5:28" x14ac:dyDescent="0.25">
      <c r="E282" s="32" t="s">
        <v>156</v>
      </c>
      <c r="F282" s="28"/>
      <c r="G282" s="28"/>
      <c r="J282" s="89"/>
      <c r="K282" s="89"/>
      <c r="L282" s="89"/>
      <c r="M282" s="89"/>
      <c r="N282" s="89"/>
      <c r="O282" s="89"/>
      <c r="P282" s="89"/>
      <c r="Q282" s="89"/>
      <c r="R282" s="89"/>
      <c r="S282" s="89"/>
      <c r="T282" s="89"/>
      <c r="U282" s="89"/>
      <c r="V282" s="89"/>
      <c r="W282" s="89"/>
      <c r="X282" s="89"/>
      <c r="Y282" s="89"/>
      <c r="Z282" s="89"/>
      <c r="AA282" s="89"/>
      <c r="AB282" s="89"/>
    </row>
    <row r="283" spans="5:28" x14ac:dyDescent="0.25">
      <c r="F283" s="64" t="s">
        <v>190</v>
      </c>
      <c r="G283" s="64" t="s">
        <v>282</v>
      </c>
      <c r="H283" s="23"/>
      <c r="I283" s="23"/>
      <c r="J283" s="101">
        <f>J240 * J$93</f>
        <v>0.92349228307239573</v>
      </c>
      <c r="K283" s="101">
        <f t="shared" ref="K283:AB283" si="325">K240 * K$93</f>
        <v>0.92349228307239573</v>
      </c>
      <c r="L283" s="101">
        <f t="shared" si="325"/>
        <v>1.0726409606164153</v>
      </c>
      <c r="M283" s="101">
        <f t="shared" si="325"/>
        <v>1.0726409606164153</v>
      </c>
      <c r="N283" s="101">
        <f t="shared" si="325"/>
        <v>0.82918074750822601</v>
      </c>
      <c r="O283" s="101">
        <f t="shared" si="325"/>
        <v>0.70928756472680232</v>
      </c>
      <c r="P283" s="101">
        <f t="shared" si="325"/>
        <v>0.71993458641185648</v>
      </c>
      <c r="Q283" s="101">
        <f t="shared" ref="Q283:S283" si="326">Q240 * Q$93</f>
        <v>0.82918074750822601</v>
      </c>
      <c r="R283" s="101">
        <f t="shared" si="326"/>
        <v>0.70928756472680232</v>
      </c>
      <c r="S283" s="101">
        <f t="shared" si="326"/>
        <v>0.71993458641185648</v>
      </c>
      <c r="T283" s="101">
        <f t="shared" si="325"/>
        <v>0.79110253955261312</v>
      </c>
      <c r="U283" s="101">
        <f t="shared" si="325"/>
        <v>0.66039375936064448</v>
      </c>
      <c r="V283" s="101">
        <f t="shared" si="325"/>
        <v>0.66039375936064448</v>
      </c>
      <c r="W283" s="101">
        <f t="shared" si="325"/>
        <v>0.66039375936064448</v>
      </c>
      <c r="X283" s="101">
        <f t="shared" si="325"/>
        <v>0.66039375936064448</v>
      </c>
      <c r="Y283" s="101">
        <f t="shared" si="325"/>
        <v>0.66039375936064448</v>
      </c>
      <c r="Z283" s="101">
        <f t="shared" si="325"/>
        <v>0.66039375936064448</v>
      </c>
      <c r="AA283" s="101">
        <f t="shared" si="325"/>
        <v>0.66039375936064448</v>
      </c>
      <c r="AB283" s="101">
        <f t="shared" si="325"/>
        <v>0.66039375936064448</v>
      </c>
    </row>
    <row r="284" spans="5:28" x14ac:dyDescent="0.25">
      <c r="F284" s="28" t="s">
        <v>191</v>
      </c>
      <c r="G284" s="28" t="s">
        <v>282</v>
      </c>
      <c r="J284" s="121">
        <f t="shared" ref="J284:AB284" si="327">J241 * J$93</f>
        <v>0</v>
      </c>
      <c r="K284" s="121">
        <f t="shared" si="327"/>
        <v>0</v>
      </c>
      <c r="L284" s="121">
        <f t="shared" si="327"/>
        <v>0</v>
      </c>
      <c r="M284" s="121">
        <f t="shared" si="327"/>
        <v>0</v>
      </c>
      <c r="N284" s="121">
        <f t="shared" si="327"/>
        <v>0</v>
      </c>
      <c r="O284" s="121">
        <f t="shared" si="327"/>
        <v>0</v>
      </c>
      <c r="P284" s="121">
        <f t="shared" si="327"/>
        <v>0</v>
      </c>
      <c r="Q284" s="121">
        <f t="shared" ref="Q284:S284" si="328">Q241 * Q$93</f>
        <v>0</v>
      </c>
      <c r="R284" s="121">
        <f t="shared" si="328"/>
        <v>0</v>
      </c>
      <c r="S284" s="121">
        <f t="shared" si="328"/>
        <v>0</v>
      </c>
      <c r="T284" s="121">
        <f t="shared" si="327"/>
        <v>0</v>
      </c>
      <c r="U284" s="121">
        <f t="shared" si="327"/>
        <v>0</v>
      </c>
      <c r="V284" s="121">
        <f t="shared" si="327"/>
        <v>0</v>
      </c>
      <c r="W284" s="121">
        <f t="shared" si="327"/>
        <v>0</v>
      </c>
      <c r="X284" s="121">
        <f t="shared" si="327"/>
        <v>0</v>
      </c>
      <c r="Y284" s="121">
        <f t="shared" si="327"/>
        <v>0</v>
      </c>
      <c r="Z284" s="121">
        <f t="shared" si="327"/>
        <v>0</v>
      </c>
      <c r="AA284" s="121">
        <f t="shared" si="327"/>
        <v>0</v>
      </c>
      <c r="AB284" s="121">
        <f t="shared" si="327"/>
        <v>0</v>
      </c>
    </row>
    <row r="285" spans="5:28" x14ac:dyDescent="0.25">
      <c r="F285" s="28" t="s">
        <v>192</v>
      </c>
      <c r="G285" s="28" t="s">
        <v>282</v>
      </c>
      <c r="J285" s="121">
        <f t="shared" ref="J285:AB285" si="329">J242 * J$93</f>
        <v>0</v>
      </c>
      <c r="K285" s="121">
        <f t="shared" si="329"/>
        <v>0</v>
      </c>
      <c r="L285" s="121">
        <f t="shared" si="329"/>
        <v>0</v>
      </c>
      <c r="M285" s="121">
        <f t="shared" si="329"/>
        <v>0</v>
      </c>
      <c r="N285" s="121">
        <f t="shared" si="329"/>
        <v>0</v>
      </c>
      <c r="O285" s="121">
        <f t="shared" si="329"/>
        <v>0</v>
      </c>
      <c r="P285" s="121">
        <f t="shared" si="329"/>
        <v>0</v>
      </c>
      <c r="Q285" s="121">
        <f t="shared" ref="Q285:S285" si="330">Q242 * Q$93</f>
        <v>0</v>
      </c>
      <c r="R285" s="121">
        <f t="shared" si="330"/>
        <v>0</v>
      </c>
      <c r="S285" s="121">
        <f t="shared" si="330"/>
        <v>0</v>
      </c>
      <c r="T285" s="121">
        <f t="shared" si="329"/>
        <v>0</v>
      </c>
      <c r="U285" s="121">
        <f t="shared" si="329"/>
        <v>0</v>
      </c>
      <c r="V285" s="121">
        <f t="shared" si="329"/>
        <v>0</v>
      </c>
      <c r="W285" s="121">
        <f t="shared" si="329"/>
        <v>0</v>
      </c>
      <c r="X285" s="121">
        <f t="shared" si="329"/>
        <v>0</v>
      </c>
      <c r="Y285" s="121">
        <f t="shared" si="329"/>
        <v>0</v>
      </c>
      <c r="Z285" s="121">
        <f t="shared" si="329"/>
        <v>0</v>
      </c>
      <c r="AA285" s="121">
        <f t="shared" si="329"/>
        <v>0</v>
      </c>
      <c r="AB285" s="121">
        <f t="shared" si="329"/>
        <v>0</v>
      </c>
    </row>
    <row r="286" spans="5:28" x14ac:dyDescent="0.25">
      <c r="F286" s="28" t="s">
        <v>193</v>
      </c>
      <c r="G286" s="28" t="s">
        <v>282</v>
      </c>
      <c r="J286" s="121">
        <f t="shared" ref="J286:AB286" si="331">J243 * J$93</f>
        <v>0.92349228307239573</v>
      </c>
      <c r="K286" s="121">
        <f t="shared" si="331"/>
        <v>0.92349228307239573</v>
      </c>
      <c r="L286" s="121">
        <f t="shared" si="331"/>
        <v>1.0726409606164153</v>
      </c>
      <c r="M286" s="121">
        <f t="shared" si="331"/>
        <v>1.0726409606164153</v>
      </c>
      <c r="N286" s="121">
        <f t="shared" si="331"/>
        <v>0.82918074750822601</v>
      </c>
      <c r="O286" s="121">
        <f t="shared" si="331"/>
        <v>0.70928756472680232</v>
      </c>
      <c r="P286" s="121">
        <f t="shared" si="331"/>
        <v>0.71993458641185648</v>
      </c>
      <c r="Q286" s="121">
        <f t="shared" ref="Q286:S286" si="332">Q243 * Q$93</f>
        <v>0.82918074750822601</v>
      </c>
      <c r="R286" s="121">
        <f t="shared" si="332"/>
        <v>0.70928756472680232</v>
      </c>
      <c r="S286" s="121">
        <f t="shared" si="332"/>
        <v>0.71993458641185648</v>
      </c>
      <c r="T286" s="121">
        <f t="shared" si="331"/>
        <v>0.79110253955261312</v>
      </c>
      <c r="U286" s="121">
        <f t="shared" si="331"/>
        <v>0.66039375936064448</v>
      </c>
      <c r="V286" s="121">
        <f t="shared" si="331"/>
        <v>0.66039375936064448</v>
      </c>
      <c r="W286" s="121">
        <f t="shared" si="331"/>
        <v>0.66039375936064448</v>
      </c>
      <c r="X286" s="121">
        <f t="shared" si="331"/>
        <v>0.66039375936064448</v>
      </c>
      <c r="Y286" s="121">
        <f t="shared" si="331"/>
        <v>0.66039375936064448</v>
      </c>
      <c r="Z286" s="121">
        <f t="shared" si="331"/>
        <v>0.66039375936064448</v>
      </c>
      <c r="AA286" s="121">
        <f t="shared" si="331"/>
        <v>0.66039375936064448</v>
      </c>
      <c r="AB286" s="121">
        <f t="shared" si="331"/>
        <v>0.66039375936064448</v>
      </c>
    </row>
    <row r="287" spans="5:28" x14ac:dyDescent="0.25">
      <c r="F287" s="28" t="s">
        <v>194</v>
      </c>
      <c r="G287" s="28" t="s">
        <v>282</v>
      </c>
      <c r="J287" s="121">
        <f t="shared" ref="J287:AB287" si="333">J244 * J$93</f>
        <v>1.2155817714261268</v>
      </c>
      <c r="K287" s="121">
        <f t="shared" si="333"/>
        <v>1.2155817714261268</v>
      </c>
      <c r="L287" s="121">
        <f t="shared" si="333"/>
        <v>1.4119043796147333</v>
      </c>
      <c r="M287" s="121">
        <f t="shared" si="333"/>
        <v>1.4119043796147333</v>
      </c>
      <c r="N287" s="121">
        <f t="shared" si="333"/>
        <v>1.0914406328715081</v>
      </c>
      <c r="O287" s="121">
        <f t="shared" si="333"/>
        <v>0.93362668014145112</v>
      </c>
      <c r="P287" s="121">
        <f t="shared" si="333"/>
        <v>0.94764122657303829</v>
      </c>
      <c r="Q287" s="121">
        <f t="shared" ref="Q287:S287" si="334">Q244 * Q$93</f>
        <v>1.0914406328715081</v>
      </c>
      <c r="R287" s="121">
        <f t="shared" si="334"/>
        <v>0.93362668014145112</v>
      </c>
      <c r="S287" s="121">
        <f t="shared" si="334"/>
        <v>0.94764122657303829</v>
      </c>
      <c r="T287" s="121">
        <f t="shared" si="333"/>
        <v>0.92680435825893326</v>
      </c>
      <c r="U287" s="121">
        <f t="shared" si="333"/>
        <v>0.86926835292184057</v>
      </c>
      <c r="V287" s="121">
        <f t="shared" si="333"/>
        <v>0.86926835292184057</v>
      </c>
      <c r="W287" s="121">
        <f t="shared" si="333"/>
        <v>0.86926835292184057</v>
      </c>
      <c r="X287" s="121">
        <f t="shared" si="333"/>
        <v>0.86926835292184057</v>
      </c>
      <c r="Y287" s="121">
        <f t="shared" si="333"/>
        <v>0.86926835292184057</v>
      </c>
      <c r="Z287" s="121">
        <f t="shared" si="333"/>
        <v>0.86926835292184057</v>
      </c>
      <c r="AA287" s="121">
        <f t="shared" si="333"/>
        <v>0.86926835292184057</v>
      </c>
      <c r="AB287" s="121">
        <f t="shared" si="333"/>
        <v>0.86926835292184057</v>
      </c>
    </row>
    <row r="288" spans="5:28" x14ac:dyDescent="0.25">
      <c r="F288" s="28" t="s">
        <v>195</v>
      </c>
      <c r="G288" s="28" t="s">
        <v>282</v>
      </c>
      <c r="J288" s="121">
        <f t="shared" ref="J288:AB288" si="335">J245 * J$93</f>
        <v>0</v>
      </c>
      <c r="K288" s="121">
        <f t="shared" si="335"/>
        <v>0</v>
      </c>
      <c r="L288" s="121">
        <f t="shared" si="335"/>
        <v>0</v>
      </c>
      <c r="M288" s="121">
        <f t="shared" si="335"/>
        <v>0</v>
      </c>
      <c r="N288" s="121">
        <f t="shared" si="335"/>
        <v>0</v>
      </c>
      <c r="O288" s="121">
        <f t="shared" si="335"/>
        <v>0</v>
      </c>
      <c r="P288" s="121">
        <f t="shared" si="335"/>
        <v>0</v>
      </c>
      <c r="Q288" s="121">
        <f t="shared" ref="Q288:S288" si="336">Q245 * Q$93</f>
        <v>0</v>
      </c>
      <c r="R288" s="121">
        <f t="shared" si="336"/>
        <v>0</v>
      </c>
      <c r="S288" s="121">
        <f t="shared" si="336"/>
        <v>0</v>
      </c>
      <c r="T288" s="121">
        <f t="shared" si="335"/>
        <v>0</v>
      </c>
      <c r="U288" s="121">
        <f t="shared" si="335"/>
        <v>0</v>
      </c>
      <c r="V288" s="121">
        <f t="shared" si="335"/>
        <v>0</v>
      </c>
      <c r="W288" s="121">
        <f t="shared" si="335"/>
        <v>0</v>
      </c>
      <c r="X288" s="121">
        <f t="shared" si="335"/>
        <v>0</v>
      </c>
      <c r="Y288" s="121">
        <f t="shared" si="335"/>
        <v>0</v>
      </c>
      <c r="Z288" s="121">
        <f t="shared" si="335"/>
        <v>0</v>
      </c>
      <c r="AA288" s="121">
        <f t="shared" si="335"/>
        <v>0</v>
      </c>
      <c r="AB288" s="121">
        <f t="shared" si="335"/>
        <v>0</v>
      </c>
    </row>
    <row r="289" spans="2:30" x14ac:dyDescent="0.25">
      <c r="F289" s="28" t="s">
        <v>196</v>
      </c>
      <c r="G289" s="28" t="s">
        <v>282</v>
      </c>
      <c r="J289" s="121">
        <f t="shared" ref="J289:AB289" si="337">J246 * J$93</f>
        <v>1.2155817714261268</v>
      </c>
      <c r="K289" s="121">
        <f t="shared" si="337"/>
        <v>1.2155817714261268</v>
      </c>
      <c r="L289" s="121">
        <f t="shared" si="337"/>
        <v>1.4119043796147333</v>
      </c>
      <c r="M289" s="121">
        <f t="shared" si="337"/>
        <v>1.4119043796147333</v>
      </c>
      <c r="N289" s="121">
        <f t="shared" si="337"/>
        <v>1.0914406328715081</v>
      </c>
      <c r="O289" s="121">
        <f t="shared" si="337"/>
        <v>0.93362668014145112</v>
      </c>
      <c r="P289" s="121">
        <f t="shared" si="337"/>
        <v>0.94764122657303829</v>
      </c>
      <c r="Q289" s="121">
        <f t="shared" ref="Q289:S289" si="338">Q246 * Q$93</f>
        <v>1.0914406328715081</v>
      </c>
      <c r="R289" s="121">
        <f t="shared" si="338"/>
        <v>0.93362668014145112</v>
      </c>
      <c r="S289" s="121">
        <f t="shared" si="338"/>
        <v>0.94764122657303829</v>
      </c>
      <c r="T289" s="121">
        <f t="shared" si="337"/>
        <v>0.92680435825893326</v>
      </c>
      <c r="U289" s="121">
        <f t="shared" si="337"/>
        <v>0.86926835292184057</v>
      </c>
      <c r="V289" s="121">
        <f t="shared" si="337"/>
        <v>0.86926835292184057</v>
      </c>
      <c r="W289" s="121">
        <f t="shared" si="337"/>
        <v>0.86926835292184057</v>
      </c>
      <c r="X289" s="121">
        <f t="shared" si="337"/>
        <v>0.86926835292184057</v>
      </c>
      <c r="Y289" s="121">
        <f t="shared" si="337"/>
        <v>0.86926835292184057</v>
      </c>
      <c r="Z289" s="121">
        <f t="shared" si="337"/>
        <v>0.86926835292184057</v>
      </c>
      <c r="AA289" s="121">
        <f t="shared" si="337"/>
        <v>0.86926835292184057</v>
      </c>
      <c r="AB289" s="121">
        <f t="shared" si="337"/>
        <v>0.86926835292184057</v>
      </c>
    </row>
    <row r="290" spans="2:30" x14ac:dyDescent="0.25">
      <c r="F290" s="28" t="s">
        <v>197</v>
      </c>
      <c r="G290" s="28" t="s">
        <v>282</v>
      </c>
      <c r="J290" s="121">
        <f t="shared" ref="J290:AB290" si="339">J247 * J$93</f>
        <v>1.2155817714261268</v>
      </c>
      <c r="K290" s="121">
        <f t="shared" si="339"/>
        <v>1.2155817714261268</v>
      </c>
      <c r="L290" s="121">
        <f t="shared" si="339"/>
        <v>1.4119043796147333</v>
      </c>
      <c r="M290" s="121">
        <f t="shared" si="339"/>
        <v>1.4119043796147333</v>
      </c>
      <c r="N290" s="121">
        <f t="shared" si="339"/>
        <v>1.0914406328715081</v>
      </c>
      <c r="O290" s="121">
        <f t="shared" si="339"/>
        <v>0.93362668014145112</v>
      </c>
      <c r="P290" s="121">
        <f t="shared" si="339"/>
        <v>0.94764122657303829</v>
      </c>
      <c r="Q290" s="121">
        <f t="shared" ref="Q290:S290" si="340">Q247 * Q$93</f>
        <v>1.0914406328715081</v>
      </c>
      <c r="R290" s="121">
        <f t="shared" si="340"/>
        <v>0.93362668014145112</v>
      </c>
      <c r="S290" s="121">
        <f t="shared" si="340"/>
        <v>0.94764122657303829</v>
      </c>
      <c r="T290" s="121">
        <f t="shared" si="339"/>
        <v>0.92680435825893326</v>
      </c>
      <c r="U290" s="121">
        <f t="shared" si="339"/>
        <v>0.86926835292184057</v>
      </c>
      <c r="V290" s="121">
        <f t="shared" si="339"/>
        <v>0.86926835292184057</v>
      </c>
      <c r="W290" s="121">
        <f t="shared" si="339"/>
        <v>0.86926835292184057</v>
      </c>
      <c r="X290" s="121">
        <f t="shared" si="339"/>
        <v>0.86926835292184057</v>
      </c>
      <c r="Y290" s="121">
        <f t="shared" si="339"/>
        <v>0.86926835292184057</v>
      </c>
      <c r="Z290" s="121">
        <f t="shared" si="339"/>
        <v>0.86926835292184057</v>
      </c>
      <c r="AA290" s="121">
        <f t="shared" si="339"/>
        <v>0.86926835292184057</v>
      </c>
      <c r="AB290" s="121">
        <f t="shared" si="339"/>
        <v>0.86926835292184057</v>
      </c>
    </row>
    <row r="291" spans="2:30" x14ac:dyDescent="0.25">
      <c r="F291" s="67" t="s">
        <v>198</v>
      </c>
      <c r="G291" s="67" t="s">
        <v>282</v>
      </c>
      <c r="H291" s="37"/>
      <c r="I291" s="37"/>
      <c r="J291" s="131">
        <f t="shared" ref="J291:AB291" si="341">J248 * J$93</f>
        <v>1.2155817714261268</v>
      </c>
      <c r="K291" s="131">
        <f t="shared" si="341"/>
        <v>1.2155817714261268</v>
      </c>
      <c r="L291" s="131">
        <f t="shared" si="341"/>
        <v>1.4119043796147333</v>
      </c>
      <c r="M291" s="131">
        <f t="shared" si="341"/>
        <v>1.4119043796147333</v>
      </c>
      <c r="N291" s="131">
        <f t="shared" si="341"/>
        <v>1.0914406328715081</v>
      </c>
      <c r="O291" s="131">
        <f t="shared" si="341"/>
        <v>0.93362668014145112</v>
      </c>
      <c r="P291" s="131">
        <f t="shared" si="341"/>
        <v>0.94764122657303829</v>
      </c>
      <c r="Q291" s="131">
        <f t="shared" ref="Q291:S291" si="342">Q248 * Q$93</f>
        <v>1.0914406328715081</v>
      </c>
      <c r="R291" s="131">
        <f t="shared" si="342"/>
        <v>0.93362668014145112</v>
      </c>
      <c r="S291" s="131">
        <f t="shared" si="342"/>
        <v>0.94764122657303829</v>
      </c>
      <c r="T291" s="131">
        <f t="shared" si="341"/>
        <v>0.92680435825893326</v>
      </c>
      <c r="U291" s="131">
        <f t="shared" si="341"/>
        <v>0.86926835292184057</v>
      </c>
      <c r="V291" s="131">
        <f t="shared" si="341"/>
        <v>0.86926835292184057</v>
      </c>
      <c r="W291" s="131">
        <f t="shared" si="341"/>
        <v>0.86926835292184057</v>
      </c>
      <c r="X291" s="131">
        <f t="shared" si="341"/>
        <v>0.86926835292184057</v>
      </c>
      <c r="Y291" s="131">
        <f t="shared" si="341"/>
        <v>0.86926835292184057</v>
      </c>
      <c r="Z291" s="131">
        <f t="shared" si="341"/>
        <v>0.86926835292184057</v>
      </c>
      <c r="AA291" s="131">
        <f t="shared" si="341"/>
        <v>0.86926835292184057</v>
      </c>
      <c r="AB291" s="131">
        <f t="shared" si="341"/>
        <v>0.86926835292184057</v>
      </c>
    </row>
    <row r="292" spans="2:30" x14ac:dyDescent="0.25">
      <c r="J292" s="89"/>
      <c r="K292" s="89"/>
      <c r="L292" s="89"/>
      <c r="M292" s="89"/>
      <c r="N292" s="89"/>
      <c r="O292" s="89"/>
      <c r="P292" s="89"/>
      <c r="Q292" s="89"/>
      <c r="R292" s="89"/>
      <c r="S292" s="89"/>
      <c r="T292" s="89"/>
      <c r="U292" s="89"/>
      <c r="V292" s="89"/>
      <c r="W292" s="89"/>
      <c r="X292" s="89"/>
      <c r="Y292" s="89"/>
      <c r="Z292" s="89"/>
      <c r="AA292" s="89"/>
      <c r="AB292" s="89"/>
    </row>
    <row r="293" spans="2:30" x14ac:dyDescent="0.25">
      <c r="E293" s="32" t="s">
        <v>157</v>
      </c>
      <c r="F293" s="28"/>
      <c r="G293" s="28"/>
      <c r="J293" s="89"/>
      <c r="K293" s="89"/>
      <c r="L293" s="89"/>
      <c r="M293" s="89"/>
      <c r="N293" s="89"/>
      <c r="O293" s="89"/>
      <c r="P293" s="89"/>
      <c r="Q293" s="89"/>
      <c r="R293" s="89"/>
      <c r="S293" s="89"/>
      <c r="T293" s="89"/>
      <c r="U293" s="89"/>
      <c r="V293" s="89"/>
      <c r="W293" s="89"/>
      <c r="X293" s="89"/>
      <c r="Y293" s="89"/>
      <c r="Z293" s="89"/>
      <c r="AA293" s="89"/>
      <c r="AB293" s="89"/>
    </row>
    <row r="294" spans="2:30" x14ac:dyDescent="0.25">
      <c r="F294" s="64" t="s">
        <v>190</v>
      </c>
      <c r="G294" s="64" t="s">
        <v>282</v>
      </c>
      <c r="H294" s="23"/>
      <c r="I294" s="23"/>
      <c r="J294" s="101">
        <f>J251 * J$93</f>
        <v>1.4805259537586315E-2</v>
      </c>
      <c r="K294" s="101">
        <f t="shared" ref="K294:AB294" si="343">K251 * K$93</f>
        <v>1.4805259537586315E-2</v>
      </c>
      <c r="L294" s="101">
        <f t="shared" si="343"/>
        <v>1.7196383882860215E-2</v>
      </c>
      <c r="M294" s="101">
        <f t="shared" si="343"/>
        <v>1.7196383882860215E-2</v>
      </c>
      <c r="N294" s="101">
        <f t="shared" si="343"/>
        <v>1.3293274232446117E-2</v>
      </c>
      <c r="O294" s="101">
        <f t="shared" si="343"/>
        <v>1.1371168633511621E-2</v>
      </c>
      <c r="P294" s="101">
        <f t="shared" si="343"/>
        <v>1.1541859739695104E-2</v>
      </c>
      <c r="Q294" s="101">
        <f t="shared" ref="Q294:S294" si="344">Q251 * Q$93</f>
        <v>1.3293274232446117E-2</v>
      </c>
      <c r="R294" s="101">
        <f t="shared" si="344"/>
        <v>1.1371168633511621E-2</v>
      </c>
      <c r="S294" s="101">
        <f t="shared" si="344"/>
        <v>1.1541859739695104E-2</v>
      </c>
      <c r="T294" s="101">
        <f t="shared" si="343"/>
        <v>1.163653936983337E-2</v>
      </c>
      <c r="U294" s="101">
        <f t="shared" si="343"/>
        <v>1.0587312079975646E-2</v>
      </c>
      <c r="V294" s="101">
        <f t="shared" si="343"/>
        <v>1.0587312079975646E-2</v>
      </c>
      <c r="W294" s="101">
        <f t="shared" si="343"/>
        <v>1.0587312079975646E-2</v>
      </c>
      <c r="X294" s="101">
        <f t="shared" si="343"/>
        <v>1.0587312079975646E-2</v>
      </c>
      <c r="Y294" s="101">
        <f t="shared" si="343"/>
        <v>1.0587312079975646E-2</v>
      </c>
      <c r="Z294" s="101">
        <f t="shared" si="343"/>
        <v>1.0587312079975646E-2</v>
      </c>
      <c r="AA294" s="101">
        <f t="shared" si="343"/>
        <v>1.0587312079975646E-2</v>
      </c>
      <c r="AB294" s="101">
        <f t="shared" si="343"/>
        <v>1.0587312079975646E-2</v>
      </c>
    </row>
    <row r="295" spans="2:30" x14ac:dyDescent="0.25">
      <c r="F295" s="28" t="s">
        <v>191</v>
      </c>
      <c r="G295" s="28" t="s">
        <v>282</v>
      </c>
      <c r="J295" s="121">
        <f t="shared" ref="J295:AB295" si="345">J252 * J$93</f>
        <v>0</v>
      </c>
      <c r="K295" s="121">
        <f t="shared" si="345"/>
        <v>0</v>
      </c>
      <c r="L295" s="121">
        <f t="shared" si="345"/>
        <v>0</v>
      </c>
      <c r="M295" s="121">
        <f t="shared" si="345"/>
        <v>0</v>
      </c>
      <c r="N295" s="121">
        <f t="shared" si="345"/>
        <v>0</v>
      </c>
      <c r="O295" s="121">
        <f t="shared" si="345"/>
        <v>0</v>
      </c>
      <c r="P295" s="121">
        <f t="shared" si="345"/>
        <v>0</v>
      </c>
      <c r="Q295" s="121">
        <f t="shared" ref="Q295:S295" si="346">Q252 * Q$93</f>
        <v>0</v>
      </c>
      <c r="R295" s="121">
        <f t="shared" si="346"/>
        <v>0</v>
      </c>
      <c r="S295" s="121">
        <f t="shared" si="346"/>
        <v>0</v>
      </c>
      <c r="T295" s="121">
        <f t="shared" si="345"/>
        <v>0</v>
      </c>
      <c r="U295" s="121">
        <f t="shared" si="345"/>
        <v>0</v>
      </c>
      <c r="V295" s="121">
        <f t="shared" si="345"/>
        <v>0</v>
      </c>
      <c r="W295" s="121">
        <f t="shared" si="345"/>
        <v>0</v>
      </c>
      <c r="X295" s="121">
        <f t="shared" si="345"/>
        <v>0</v>
      </c>
      <c r="Y295" s="121">
        <f t="shared" si="345"/>
        <v>0</v>
      </c>
      <c r="Z295" s="121">
        <f t="shared" si="345"/>
        <v>0</v>
      </c>
      <c r="AA295" s="121">
        <f t="shared" si="345"/>
        <v>0</v>
      </c>
      <c r="AB295" s="121">
        <f t="shared" si="345"/>
        <v>0</v>
      </c>
    </row>
    <row r="296" spans="2:30" x14ac:dyDescent="0.25">
      <c r="F296" s="28" t="s">
        <v>192</v>
      </c>
      <c r="G296" s="28" t="s">
        <v>282</v>
      </c>
      <c r="J296" s="121">
        <f t="shared" ref="J296:AB296" si="347">J253 * J$93</f>
        <v>0</v>
      </c>
      <c r="K296" s="121">
        <f t="shared" si="347"/>
        <v>0</v>
      </c>
      <c r="L296" s="121">
        <f t="shared" si="347"/>
        <v>0</v>
      </c>
      <c r="M296" s="121">
        <f t="shared" si="347"/>
        <v>0</v>
      </c>
      <c r="N296" s="121">
        <f t="shared" si="347"/>
        <v>0</v>
      </c>
      <c r="O296" s="121">
        <f t="shared" si="347"/>
        <v>0</v>
      </c>
      <c r="P296" s="121">
        <f t="shared" si="347"/>
        <v>0</v>
      </c>
      <c r="Q296" s="121">
        <f t="shared" ref="Q296:S296" si="348">Q253 * Q$93</f>
        <v>0</v>
      </c>
      <c r="R296" s="121">
        <f t="shared" si="348"/>
        <v>0</v>
      </c>
      <c r="S296" s="121">
        <f t="shared" si="348"/>
        <v>0</v>
      </c>
      <c r="T296" s="121">
        <f t="shared" si="347"/>
        <v>0</v>
      </c>
      <c r="U296" s="121">
        <f t="shared" si="347"/>
        <v>0</v>
      </c>
      <c r="V296" s="121">
        <f t="shared" si="347"/>
        <v>0</v>
      </c>
      <c r="W296" s="121">
        <f t="shared" si="347"/>
        <v>0</v>
      </c>
      <c r="X296" s="121">
        <f t="shared" si="347"/>
        <v>0</v>
      </c>
      <c r="Y296" s="121">
        <f t="shared" si="347"/>
        <v>0</v>
      </c>
      <c r="Z296" s="121">
        <f t="shared" si="347"/>
        <v>0</v>
      </c>
      <c r="AA296" s="121">
        <f t="shared" si="347"/>
        <v>0</v>
      </c>
      <c r="AB296" s="121">
        <f t="shared" si="347"/>
        <v>0</v>
      </c>
    </row>
    <row r="297" spans="2:30" x14ac:dyDescent="0.25">
      <c r="F297" s="28" t="s">
        <v>193</v>
      </c>
      <c r="G297" s="28" t="s">
        <v>282</v>
      </c>
      <c r="J297" s="121">
        <f t="shared" ref="J297:AB297" si="349">J254 * J$93</f>
        <v>1.4805259537586315E-2</v>
      </c>
      <c r="K297" s="121">
        <f t="shared" si="349"/>
        <v>1.4805259537586315E-2</v>
      </c>
      <c r="L297" s="121">
        <f t="shared" si="349"/>
        <v>1.7196383882860215E-2</v>
      </c>
      <c r="M297" s="121">
        <f t="shared" si="349"/>
        <v>1.7196383882860215E-2</v>
      </c>
      <c r="N297" s="121">
        <f t="shared" si="349"/>
        <v>1.3293274232446117E-2</v>
      </c>
      <c r="O297" s="121">
        <f t="shared" si="349"/>
        <v>1.1371168633511621E-2</v>
      </c>
      <c r="P297" s="121">
        <f t="shared" si="349"/>
        <v>1.1541859739695104E-2</v>
      </c>
      <c r="Q297" s="121">
        <f t="shared" ref="Q297:S297" si="350">Q254 * Q$93</f>
        <v>1.3293274232446117E-2</v>
      </c>
      <c r="R297" s="121">
        <f t="shared" si="350"/>
        <v>1.1371168633511621E-2</v>
      </c>
      <c r="S297" s="121">
        <f t="shared" si="350"/>
        <v>1.1541859739695104E-2</v>
      </c>
      <c r="T297" s="121">
        <f t="shared" si="349"/>
        <v>1.163653936983337E-2</v>
      </c>
      <c r="U297" s="121">
        <f t="shared" si="349"/>
        <v>1.0587312079975646E-2</v>
      </c>
      <c r="V297" s="121">
        <f t="shared" si="349"/>
        <v>1.0587312079975646E-2</v>
      </c>
      <c r="W297" s="121">
        <f t="shared" si="349"/>
        <v>1.0587312079975646E-2</v>
      </c>
      <c r="X297" s="121">
        <f t="shared" si="349"/>
        <v>1.0587312079975646E-2</v>
      </c>
      <c r="Y297" s="121">
        <f t="shared" si="349"/>
        <v>1.0587312079975646E-2</v>
      </c>
      <c r="Z297" s="121">
        <f t="shared" si="349"/>
        <v>1.0587312079975646E-2</v>
      </c>
      <c r="AA297" s="121">
        <f t="shared" si="349"/>
        <v>1.0587312079975646E-2</v>
      </c>
      <c r="AB297" s="121">
        <f t="shared" si="349"/>
        <v>1.0587312079975646E-2</v>
      </c>
    </row>
    <row r="298" spans="2:30" x14ac:dyDescent="0.25">
      <c r="F298" s="28" t="s">
        <v>194</v>
      </c>
      <c r="G298" s="28" t="s">
        <v>282</v>
      </c>
      <c r="J298" s="121">
        <f t="shared" ref="J298:AB298" si="351">J255 * J$93</f>
        <v>4.1322546283744134E-2</v>
      </c>
      <c r="K298" s="121">
        <f t="shared" si="351"/>
        <v>4.1322546283744134E-2</v>
      </c>
      <c r="L298" s="121">
        <f t="shared" si="351"/>
        <v>4.7996346643469308E-2</v>
      </c>
      <c r="M298" s="121">
        <f t="shared" si="351"/>
        <v>4.7996346643469308E-2</v>
      </c>
      <c r="N298" s="121">
        <f t="shared" si="351"/>
        <v>3.7102486338602317E-2</v>
      </c>
      <c r="O298" s="121">
        <f t="shared" si="351"/>
        <v>3.1737751098900924E-2</v>
      </c>
      <c r="P298" s="121">
        <f t="shared" si="351"/>
        <v>3.2214162276805902E-2</v>
      </c>
      <c r="Q298" s="121">
        <f t="shared" ref="Q298:S298" si="352">Q255 * Q$93</f>
        <v>3.7102486338602317E-2</v>
      </c>
      <c r="R298" s="121">
        <f t="shared" si="352"/>
        <v>3.1737751098900924E-2</v>
      </c>
      <c r="S298" s="121">
        <f t="shared" si="352"/>
        <v>3.2214162276805902E-2</v>
      </c>
      <c r="T298" s="121">
        <f t="shared" si="351"/>
        <v>3.2478419947438684E-2</v>
      </c>
      <c r="U298" s="121">
        <f t="shared" si="351"/>
        <v>2.9549950970772461E-2</v>
      </c>
      <c r="V298" s="121">
        <f t="shared" si="351"/>
        <v>2.9549950970772461E-2</v>
      </c>
      <c r="W298" s="121">
        <f t="shared" si="351"/>
        <v>2.9549950970772461E-2</v>
      </c>
      <c r="X298" s="121">
        <f t="shared" si="351"/>
        <v>2.9549950970772461E-2</v>
      </c>
      <c r="Y298" s="121">
        <f t="shared" si="351"/>
        <v>2.9549950970772461E-2</v>
      </c>
      <c r="Z298" s="121">
        <f t="shared" si="351"/>
        <v>2.9549950970772461E-2</v>
      </c>
      <c r="AA298" s="121">
        <f t="shared" si="351"/>
        <v>2.9549950970772461E-2</v>
      </c>
      <c r="AB298" s="121">
        <f t="shared" si="351"/>
        <v>2.9549950970772461E-2</v>
      </c>
    </row>
    <row r="299" spans="2:30" x14ac:dyDescent="0.25">
      <c r="F299" s="28" t="s">
        <v>195</v>
      </c>
      <c r="G299" s="28" t="s">
        <v>282</v>
      </c>
      <c r="J299" s="121">
        <f t="shared" ref="J299:AB299" si="353">J256 * J$93</f>
        <v>0</v>
      </c>
      <c r="K299" s="121">
        <f t="shared" si="353"/>
        <v>0</v>
      </c>
      <c r="L299" s="121">
        <f t="shared" si="353"/>
        <v>0</v>
      </c>
      <c r="M299" s="121">
        <f t="shared" si="353"/>
        <v>0</v>
      </c>
      <c r="N299" s="121">
        <f t="shared" si="353"/>
        <v>0</v>
      </c>
      <c r="O299" s="121">
        <f t="shared" si="353"/>
        <v>0</v>
      </c>
      <c r="P299" s="121">
        <f t="shared" si="353"/>
        <v>0</v>
      </c>
      <c r="Q299" s="121">
        <f t="shared" ref="Q299:S299" si="354">Q256 * Q$93</f>
        <v>0</v>
      </c>
      <c r="R299" s="121">
        <f t="shared" si="354"/>
        <v>0</v>
      </c>
      <c r="S299" s="121">
        <f t="shared" si="354"/>
        <v>0</v>
      </c>
      <c r="T299" s="121">
        <f t="shared" si="353"/>
        <v>0</v>
      </c>
      <c r="U299" s="121">
        <f t="shared" si="353"/>
        <v>0</v>
      </c>
      <c r="V299" s="121">
        <f t="shared" si="353"/>
        <v>0</v>
      </c>
      <c r="W299" s="121">
        <f t="shared" si="353"/>
        <v>0</v>
      </c>
      <c r="X299" s="121">
        <f t="shared" si="353"/>
        <v>0</v>
      </c>
      <c r="Y299" s="121">
        <f t="shared" si="353"/>
        <v>0</v>
      </c>
      <c r="Z299" s="121">
        <f t="shared" si="353"/>
        <v>0</v>
      </c>
      <c r="AA299" s="121">
        <f t="shared" si="353"/>
        <v>0</v>
      </c>
      <c r="AB299" s="121">
        <f t="shared" si="353"/>
        <v>0</v>
      </c>
    </row>
    <row r="300" spans="2:30" x14ac:dyDescent="0.25">
      <c r="F300" s="28" t="s">
        <v>196</v>
      </c>
      <c r="G300" s="28" t="s">
        <v>282</v>
      </c>
      <c r="J300" s="121">
        <f t="shared" ref="J300:AB300" si="355">J257 * J$93</f>
        <v>4.1322546283744134E-2</v>
      </c>
      <c r="K300" s="121">
        <f t="shared" si="355"/>
        <v>4.1322546283744134E-2</v>
      </c>
      <c r="L300" s="121">
        <f t="shared" si="355"/>
        <v>4.7996346643469308E-2</v>
      </c>
      <c r="M300" s="121">
        <f t="shared" si="355"/>
        <v>4.7996346643469308E-2</v>
      </c>
      <c r="N300" s="121">
        <f t="shared" si="355"/>
        <v>3.7102486338602317E-2</v>
      </c>
      <c r="O300" s="121">
        <f t="shared" si="355"/>
        <v>3.1737751098900924E-2</v>
      </c>
      <c r="P300" s="121">
        <f t="shared" si="355"/>
        <v>3.2214162276805902E-2</v>
      </c>
      <c r="Q300" s="121">
        <f t="shared" ref="Q300:S300" si="356">Q257 * Q$93</f>
        <v>3.7102486338602317E-2</v>
      </c>
      <c r="R300" s="121">
        <f t="shared" si="356"/>
        <v>3.1737751098900924E-2</v>
      </c>
      <c r="S300" s="121">
        <f t="shared" si="356"/>
        <v>3.2214162276805902E-2</v>
      </c>
      <c r="T300" s="121">
        <f t="shared" si="355"/>
        <v>3.2478419947438684E-2</v>
      </c>
      <c r="U300" s="121">
        <f t="shared" si="355"/>
        <v>2.9549950970772461E-2</v>
      </c>
      <c r="V300" s="121">
        <f t="shared" si="355"/>
        <v>2.9549950970772461E-2</v>
      </c>
      <c r="W300" s="121">
        <f t="shared" si="355"/>
        <v>2.9549950970772461E-2</v>
      </c>
      <c r="X300" s="121">
        <f t="shared" si="355"/>
        <v>2.9549950970772461E-2</v>
      </c>
      <c r="Y300" s="121">
        <f t="shared" si="355"/>
        <v>2.9549950970772461E-2</v>
      </c>
      <c r="Z300" s="121">
        <f t="shared" si="355"/>
        <v>2.9549950970772461E-2</v>
      </c>
      <c r="AA300" s="121">
        <f t="shared" si="355"/>
        <v>2.9549950970772461E-2</v>
      </c>
      <c r="AB300" s="121">
        <f t="shared" si="355"/>
        <v>2.9549950970772461E-2</v>
      </c>
    </row>
    <row r="301" spans="2:30" x14ac:dyDescent="0.25">
      <c r="F301" s="28" t="s">
        <v>197</v>
      </c>
      <c r="G301" s="28" t="s">
        <v>282</v>
      </c>
      <c r="J301" s="121">
        <f t="shared" ref="J301:AB301" si="357">J258 * J$93</f>
        <v>4.1322546283744134E-2</v>
      </c>
      <c r="K301" s="121">
        <f t="shared" si="357"/>
        <v>4.1322546283744134E-2</v>
      </c>
      <c r="L301" s="121">
        <f t="shared" si="357"/>
        <v>4.7996346643469308E-2</v>
      </c>
      <c r="M301" s="121">
        <f t="shared" si="357"/>
        <v>4.7996346643469308E-2</v>
      </c>
      <c r="N301" s="121">
        <f t="shared" si="357"/>
        <v>3.7102486338602317E-2</v>
      </c>
      <c r="O301" s="121">
        <f t="shared" si="357"/>
        <v>3.1737751098900924E-2</v>
      </c>
      <c r="P301" s="121">
        <f t="shared" si="357"/>
        <v>3.2214162276805902E-2</v>
      </c>
      <c r="Q301" s="121">
        <f t="shared" ref="Q301:S301" si="358">Q258 * Q$93</f>
        <v>3.7102486338602317E-2</v>
      </c>
      <c r="R301" s="121">
        <f t="shared" si="358"/>
        <v>3.1737751098900924E-2</v>
      </c>
      <c r="S301" s="121">
        <f t="shared" si="358"/>
        <v>3.2214162276805902E-2</v>
      </c>
      <c r="T301" s="121">
        <f t="shared" si="357"/>
        <v>3.2478419947438684E-2</v>
      </c>
      <c r="U301" s="121">
        <f t="shared" si="357"/>
        <v>2.9549950970772461E-2</v>
      </c>
      <c r="V301" s="121">
        <f t="shared" si="357"/>
        <v>2.9549950970772461E-2</v>
      </c>
      <c r="W301" s="121">
        <f t="shared" si="357"/>
        <v>2.9549950970772461E-2</v>
      </c>
      <c r="X301" s="121">
        <f t="shared" si="357"/>
        <v>2.9549950970772461E-2</v>
      </c>
      <c r="Y301" s="121">
        <f t="shared" si="357"/>
        <v>2.9549950970772461E-2</v>
      </c>
      <c r="Z301" s="121">
        <f t="shared" si="357"/>
        <v>2.9549950970772461E-2</v>
      </c>
      <c r="AA301" s="121">
        <f t="shared" si="357"/>
        <v>2.9549950970772461E-2</v>
      </c>
      <c r="AB301" s="121">
        <f t="shared" si="357"/>
        <v>2.9549950970772461E-2</v>
      </c>
    </row>
    <row r="302" spans="2:30" x14ac:dyDescent="0.25">
      <c r="F302" s="67" t="s">
        <v>198</v>
      </c>
      <c r="G302" s="67" t="s">
        <v>282</v>
      </c>
      <c r="H302" s="37"/>
      <c r="I302" s="37"/>
      <c r="J302" s="131">
        <f t="shared" ref="J302:AB302" si="359">J259 * J$93</f>
        <v>4.1322546283744134E-2</v>
      </c>
      <c r="K302" s="131">
        <f t="shared" si="359"/>
        <v>4.1322546283744134E-2</v>
      </c>
      <c r="L302" s="131">
        <f t="shared" si="359"/>
        <v>4.7996346643469308E-2</v>
      </c>
      <c r="M302" s="131">
        <f t="shared" si="359"/>
        <v>4.7996346643469308E-2</v>
      </c>
      <c r="N302" s="131">
        <f t="shared" si="359"/>
        <v>3.7102486338602317E-2</v>
      </c>
      <c r="O302" s="131">
        <f t="shared" si="359"/>
        <v>3.1737751098900924E-2</v>
      </c>
      <c r="P302" s="131">
        <f t="shared" si="359"/>
        <v>3.2214162276805902E-2</v>
      </c>
      <c r="Q302" s="131">
        <f t="shared" ref="Q302:S302" si="360">Q259 * Q$93</f>
        <v>3.7102486338602317E-2</v>
      </c>
      <c r="R302" s="131">
        <f t="shared" si="360"/>
        <v>3.1737751098900924E-2</v>
      </c>
      <c r="S302" s="131">
        <f t="shared" si="360"/>
        <v>3.2214162276805902E-2</v>
      </c>
      <c r="T302" s="131">
        <f t="shared" si="359"/>
        <v>3.2478419947438684E-2</v>
      </c>
      <c r="U302" s="131">
        <f t="shared" si="359"/>
        <v>2.9549950970772461E-2</v>
      </c>
      <c r="V302" s="131">
        <f t="shared" si="359"/>
        <v>2.9549950970772461E-2</v>
      </c>
      <c r="W302" s="131">
        <f t="shared" si="359"/>
        <v>2.9549950970772461E-2</v>
      </c>
      <c r="X302" s="131">
        <f t="shared" si="359"/>
        <v>2.9549950970772461E-2</v>
      </c>
      <c r="Y302" s="131">
        <f t="shared" si="359"/>
        <v>2.9549950970772461E-2</v>
      </c>
      <c r="Z302" s="131">
        <f t="shared" si="359"/>
        <v>2.9549950970772461E-2</v>
      </c>
      <c r="AA302" s="131">
        <f t="shared" si="359"/>
        <v>2.9549950970772461E-2</v>
      </c>
      <c r="AB302" s="131">
        <f t="shared" si="359"/>
        <v>2.9549950970772461E-2</v>
      </c>
    </row>
    <row r="304" spans="2:30" x14ac:dyDescent="0.25">
      <c r="B304" s="30" t="s">
        <v>230</v>
      </c>
      <c r="C304" s="30"/>
      <c r="D304" s="30"/>
      <c r="E304" s="30"/>
      <c r="F304" s="30"/>
      <c r="G304" s="30"/>
      <c r="H304" s="30"/>
      <c r="I304" s="30"/>
      <c r="J304" s="30"/>
      <c r="K304" s="30"/>
      <c r="L304" s="30"/>
      <c r="M304" s="30"/>
      <c r="N304" s="30"/>
      <c r="O304" s="30"/>
      <c r="P304" s="30"/>
      <c r="Q304" s="30"/>
      <c r="R304" s="30"/>
      <c r="S304" s="30"/>
      <c r="T304" s="30"/>
      <c r="U304" s="30"/>
      <c r="V304" s="30"/>
      <c r="W304" s="30"/>
      <c r="X304" s="30"/>
      <c r="Y304" s="30"/>
      <c r="Z304" s="30"/>
      <c r="AA304" s="30"/>
      <c r="AB304" s="30"/>
      <c r="AC304" s="30"/>
      <c r="AD304" s="30"/>
    </row>
    <row r="306" spans="2:30" x14ac:dyDescent="0.25">
      <c r="E306" t="s">
        <v>231</v>
      </c>
      <c r="G306" s="6" t="s">
        <v>54</v>
      </c>
      <c r="H306" s="26">
        <f t="array" ref="H306">SUM(IF(ISERROR(H20:AB302), 1))</f>
        <v>0</v>
      </c>
    </row>
    <row r="308" spans="2:30" x14ac:dyDescent="0.25">
      <c r="B308" s="30" t="s">
        <v>105</v>
      </c>
      <c r="C308" s="30"/>
      <c r="D308" s="30"/>
      <c r="E308" s="30"/>
      <c r="F308" s="30"/>
      <c r="G308" s="30"/>
      <c r="H308" s="30"/>
      <c r="I308" s="30"/>
      <c r="J308" s="30"/>
      <c r="K308" s="30"/>
      <c r="L308" s="30"/>
      <c r="M308" s="30"/>
      <c r="N308" s="30"/>
      <c r="O308" s="30"/>
      <c r="P308" s="30"/>
      <c r="Q308" s="30"/>
      <c r="R308" s="30"/>
      <c r="S308" s="30"/>
      <c r="T308" s="30"/>
      <c r="U308" s="30"/>
      <c r="V308" s="30"/>
      <c r="W308" s="30"/>
      <c r="X308" s="30"/>
      <c r="Y308" s="30"/>
      <c r="Z308" s="30"/>
      <c r="AA308" s="30"/>
      <c r="AB308" s="30"/>
      <c r="AC308" s="30"/>
      <c r="AD308" s="30"/>
    </row>
  </sheetData>
  <sheetProtection sheet="1" objects="1" formatCells="0" formatColumns="0" formatRows="0" sort="0" autoFilter="0"/>
  <conditionalFormatting sqref="H306">
    <cfRule type="cellIs" dxfId="156" priority="10" operator="greaterThan">
      <formula>0</formula>
    </cfRule>
  </conditionalFormatting>
  <conditionalFormatting sqref="A4:I4 AC4:XFD4">
    <cfRule type="expression" dxfId="155" priority="9">
      <formula>LEFT($A$4,1) &lt;&gt; "0"</formula>
    </cfRule>
  </conditionalFormatting>
  <conditionalFormatting sqref="N4:S4">
    <cfRule type="expression" dxfId="154" priority="8">
      <formula>LEFT($A$4,1) &lt;&gt; "0"</formula>
    </cfRule>
  </conditionalFormatting>
  <conditionalFormatting sqref="L4:M4">
    <cfRule type="expression" dxfId="153" priority="7">
      <formula>LEFT($A$4,1) &lt;&gt; "0"</formula>
    </cfRule>
  </conditionalFormatting>
  <conditionalFormatting sqref="J4:K4">
    <cfRule type="expression" dxfId="152" priority="6">
      <formula>LEFT($A$4,1) &lt;&gt; "0"</formula>
    </cfRule>
  </conditionalFormatting>
  <conditionalFormatting sqref="T4">
    <cfRule type="expression" dxfId="151" priority="5">
      <formula>LEFT($A$4,1) &lt;&gt; "0"</formula>
    </cfRule>
  </conditionalFormatting>
  <conditionalFormatting sqref="U4:V4">
    <cfRule type="expression" dxfId="150" priority="4">
      <formula>LEFT($A$4,1) &lt;&gt; "0"</formula>
    </cfRule>
  </conditionalFormatting>
  <conditionalFormatting sqref="W4:X4">
    <cfRule type="expression" dxfId="149" priority="3">
      <formula>LEFT($A$4,1) &lt;&gt; "0"</formula>
    </cfRule>
  </conditionalFormatting>
  <conditionalFormatting sqref="Y4:Z4">
    <cfRule type="expression" dxfId="148" priority="2">
      <formula>LEFT($A$4,1) &lt;&gt; "0"</formula>
    </cfRule>
  </conditionalFormatting>
  <conditionalFormatting sqref="AA4:AB4">
    <cfRule type="expression" dxfId="147" priority="1">
      <formula>LEFT($A$4,1) &lt;&gt; "0"</formula>
    </cfRule>
  </conditionalFormatting>
  <hyperlinks>
    <hyperlink ref="B5:F5" location="'Model map'!A1" display="Click here to return to model map" xr:uid="{00000000-0004-0000-0D00-000000000000}"/>
  </hyperlinks>
  <pageMargins left="0.7" right="0.7" top="0.75" bottom="0.75" header="0.3" footer="0.3"/>
  <pageSetup paperSize="9" fitToHeight="0" orientation="portrait" r:id="rId1"/>
  <headerFooter>
    <oddHeader>&amp;L&amp;A&amp;C&amp;R&amp;P of &amp;N</oddHeader>
    <oddFooter>&amp;F</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tabColor theme="4" tint="0.59999389629810485"/>
    <pageSetUpPr fitToPage="1"/>
  </sheetPr>
  <dimension ref="A1:LK32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8" width="17" customWidth="1"/>
    <col min="29" max="29" width="2.42578125" customWidth="1"/>
    <col min="30" max="30" width="50.5703125" customWidth="1"/>
    <col min="31" max="31" width="2.42578125" customWidth="1"/>
    <col min="32" max="44" width="17" hidden="1" customWidth="1"/>
    <col min="45" max="45" width="3.5703125" hidden="1" customWidth="1"/>
    <col min="46" max="46" width="18.42578125" hidden="1" customWidth="1"/>
    <col min="47" max="47" width="4.42578125" hidden="1" customWidth="1"/>
    <col min="48" max="48" width="24.5703125" hidden="1" customWidth="1"/>
    <col min="49" max="49" width="3.5703125" hidden="1" customWidth="1"/>
    <col min="50" max="50" width="15.42578125" hidden="1" customWidth="1"/>
    <col min="51" max="323" width="24.5703125" hidden="1" customWidth="1"/>
    <col min="324" max="16384" width="8.7109375" hidden="1"/>
  </cols>
  <sheetData>
    <row r="1" spans="1:46" s="1" customFormat="1" x14ac:dyDescent="0.25">
      <c r="A1" s="1" t="str">
        <f ca="1">MID(CELL("filename",A1),FIND("]",CELL("filename",A1))+1,255)</f>
        <v>System peak demand</v>
      </c>
    </row>
    <row r="2" spans="1:46" s="1" customFormat="1" x14ac:dyDescent="0.25">
      <c r="A2" s="1" t="str">
        <f>Cover!D21&amp;" - "&amp;Cover!D23</f>
        <v>SP Distribution - Two</v>
      </c>
    </row>
    <row r="3" spans="1:46" s="5" customFormat="1" x14ac:dyDescent="0.25">
      <c r="A3" s="5" t="str">
        <f>Cover!D2&amp;" - "&amp;Cover!D8&amp;" v"&amp;Cover!D10&amp;" - "&amp;Cover!D19</f>
        <v>CDCM charging model - Release for charge setting v6 - 2021/22</v>
      </c>
    </row>
    <row r="4" spans="1:46" x14ac:dyDescent="0.25">
      <c r="A4" s="12" t="str">
        <f>H281 &amp; IF(H281 = 1, " issue", " issues") &amp;" identified in checks on this sheet"</f>
        <v>0 issues identified in checks on this sheet</v>
      </c>
      <c r="B4" s="13"/>
      <c r="C4" s="13"/>
      <c r="D4" s="13"/>
      <c r="E4" s="13"/>
      <c r="F4" s="13"/>
      <c r="G4" s="13"/>
      <c r="H4" s="14"/>
      <c r="I4" s="14"/>
    </row>
    <row r="5" spans="1:46" ht="60" x14ac:dyDescent="0.25">
      <c r="B5" s="59" t="s">
        <v>141</v>
      </c>
      <c r="C5" s="60"/>
      <c r="D5" s="60"/>
      <c r="E5" s="60"/>
      <c r="F5" s="60"/>
      <c r="G5" s="61" t="s">
        <v>142</v>
      </c>
      <c r="H5" s="62" t="s">
        <v>143</v>
      </c>
      <c r="I5" s="14"/>
      <c r="J5" s="62" t="s">
        <v>893</v>
      </c>
      <c r="K5" s="62" t="s">
        <v>895</v>
      </c>
      <c r="L5" s="62" t="s">
        <v>894</v>
      </c>
      <c r="M5" s="62" t="s">
        <v>896</v>
      </c>
      <c r="N5" s="62" t="s">
        <v>902</v>
      </c>
      <c r="O5" s="62" t="s">
        <v>903</v>
      </c>
      <c r="P5" s="62" t="s">
        <v>904</v>
      </c>
      <c r="Q5" s="62" t="s">
        <v>1027</v>
      </c>
      <c r="R5" s="62" t="s">
        <v>1028</v>
      </c>
      <c r="S5" s="62" t="s">
        <v>1029</v>
      </c>
      <c r="T5" s="62" t="s">
        <v>905</v>
      </c>
      <c r="U5" s="62" t="s">
        <v>897</v>
      </c>
      <c r="V5" s="62" t="s">
        <v>898</v>
      </c>
      <c r="W5" s="62" t="s">
        <v>899</v>
      </c>
      <c r="X5" s="62" t="s">
        <v>908</v>
      </c>
      <c r="Y5" s="62" t="s">
        <v>900</v>
      </c>
      <c r="Z5" s="62" t="s">
        <v>907</v>
      </c>
      <c r="AA5" s="62" t="s">
        <v>901</v>
      </c>
      <c r="AB5" s="62" t="s">
        <v>906</v>
      </c>
      <c r="AD5" s="61" t="s">
        <v>144</v>
      </c>
    </row>
    <row r="7" spans="1:46" x14ac:dyDescent="0.25">
      <c r="B7" s="30" t="s">
        <v>9</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F7" s="30"/>
      <c r="AG7" s="30"/>
      <c r="AH7" s="30"/>
      <c r="AI7" s="30"/>
      <c r="AJ7" s="30"/>
      <c r="AK7" s="30"/>
      <c r="AL7" s="30"/>
      <c r="AM7" s="30"/>
      <c r="AN7" s="30"/>
      <c r="AO7" s="30"/>
      <c r="AP7" s="30"/>
      <c r="AQ7" s="30"/>
      <c r="AR7" s="30"/>
      <c r="AT7" s="30"/>
    </row>
    <row r="9" spans="1:46" x14ac:dyDescent="0.25">
      <c r="C9" s="29" t="s">
        <v>489</v>
      </c>
      <c r="D9" s="29"/>
    </row>
    <row r="10" spans="1:46" x14ac:dyDescent="0.25">
      <c r="C10" s="29" t="s">
        <v>490</v>
      </c>
      <c r="D10" s="29"/>
    </row>
    <row r="11" spans="1:46" x14ac:dyDescent="0.25">
      <c r="C11" s="29" t="s">
        <v>491</v>
      </c>
      <c r="D11" s="29"/>
    </row>
    <row r="12" spans="1:46" x14ac:dyDescent="0.25">
      <c r="C12" s="29"/>
      <c r="D12" s="29" t="s">
        <v>492</v>
      </c>
    </row>
    <row r="13" spans="1:46" x14ac:dyDescent="0.25">
      <c r="C13" s="29"/>
      <c r="D13" s="29" t="s">
        <v>493</v>
      </c>
    </row>
    <row r="14" spans="1:46" x14ac:dyDescent="0.25">
      <c r="C14" s="29"/>
      <c r="D14" s="29" t="s">
        <v>494</v>
      </c>
    </row>
    <row r="16" spans="1:46" x14ac:dyDescent="0.25">
      <c r="B16" s="30" t="s">
        <v>495</v>
      </c>
      <c r="C16" s="30"/>
      <c r="D16" s="30"/>
      <c r="E16" s="30"/>
      <c r="F16" s="30"/>
      <c r="G16" s="30"/>
      <c r="H16" s="30"/>
      <c r="I16" s="30"/>
      <c r="J16" s="30"/>
      <c r="K16" s="30"/>
      <c r="L16" s="30"/>
      <c r="M16" s="30"/>
      <c r="N16" s="30"/>
      <c r="O16" s="30"/>
      <c r="P16" s="30"/>
      <c r="Q16" s="30"/>
      <c r="R16" s="30"/>
      <c r="S16" s="30"/>
      <c r="T16" s="30"/>
      <c r="U16" s="30"/>
      <c r="V16" s="30"/>
      <c r="W16" s="30"/>
      <c r="X16" s="30"/>
      <c r="Y16" s="30"/>
      <c r="Z16" s="30"/>
      <c r="AA16" s="30"/>
      <c r="AB16" s="30"/>
      <c r="AC16" s="30"/>
      <c r="AD16" s="30"/>
      <c r="AF16" s="30"/>
      <c r="AG16" s="30"/>
      <c r="AH16" s="30"/>
      <c r="AI16" s="30"/>
      <c r="AJ16" s="30"/>
      <c r="AK16" s="30"/>
      <c r="AL16" s="30"/>
      <c r="AM16" s="30"/>
      <c r="AN16" s="30"/>
      <c r="AO16" s="30"/>
      <c r="AP16" s="30"/>
      <c r="AQ16" s="30"/>
      <c r="AR16" s="30"/>
      <c r="AT16" s="30"/>
    </row>
    <row r="17" spans="3:46" x14ac:dyDescent="0.25">
      <c r="C17" s="32"/>
      <c r="AT17" s="3"/>
    </row>
    <row r="18" spans="3:46" x14ac:dyDescent="0.25">
      <c r="C18" s="31" t="str">
        <f ca="1">INDEX('Version control'!$H$34:$H$57,MATCH($A$1,'Version control'!$F$34:$F$57,0),1)&amp;"-A: Common inputs for chargeable load calculations"</f>
        <v>Section 106-A: Common inputs for chargeable load calculations</v>
      </c>
      <c r="D18" s="31"/>
      <c r="E18" s="31"/>
      <c r="F18" s="31"/>
      <c r="G18" s="31"/>
      <c r="H18" s="31"/>
      <c r="I18" s="31"/>
      <c r="J18" s="31"/>
      <c r="K18" s="31"/>
      <c r="L18" s="31"/>
      <c r="M18" s="31"/>
      <c r="N18" s="31"/>
      <c r="O18" s="31"/>
      <c r="P18" s="31"/>
      <c r="Q18" s="31"/>
      <c r="R18" s="31"/>
      <c r="S18" s="31"/>
      <c r="T18" s="31"/>
      <c r="U18" s="31"/>
      <c r="V18" s="31"/>
      <c r="W18" s="31"/>
      <c r="X18" s="31"/>
      <c r="Y18" s="31"/>
      <c r="Z18" s="31"/>
      <c r="AA18" s="31"/>
      <c r="AB18" s="31"/>
      <c r="AC18" s="31"/>
      <c r="AD18" s="31"/>
      <c r="AT18" s="3"/>
    </row>
    <row r="19" spans="3:46" x14ac:dyDescent="0.25">
      <c r="H19" s="63"/>
      <c r="J19" s="63"/>
      <c r="K19" s="63"/>
      <c r="L19" s="63"/>
      <c r="M19" s="63"/>
      <c r="N19" s="63"/>
      <c r="O19" s="63"/>
      <c r="P19" s="63"/>
      <c r="Q19" s="63"/>
      <c r="R19" s="63"/>
      <c r="S19" s="63"/>
      <c r="T19" s="63"/>
      <c r="U19" s="63"/>
      <c r="V19" s="63"/>
      <c r="W19" s="63"/>
      <c r="X19" s="63"/>
      <c r="Y19" s="63"/>
      <c r="Z19" s="63"/>
      <c r="AA19" s="63"/>
      <c r="AB19" s="63"/>
    </row>
    <row r="20" spans="3:46" x14ac:dyDescent="0.25">
      <c r="D20" s="29" t="s">
        <v>496</v>
      </c>
      <c r="AT20" s="3"/>
    </row>
    <row r="21" spans="3:46" x14ac:dyDescent="0.25">
      <c r="C21" s="32"/>
      <c r="AT21" s="3"/>
    </row>
    <row r="22" spans="3:46" x14ac:dyDescent="0.25">
      <c r="E22" s="32" t="s">
        <v>377</v>
      </c>
      <c r="H22" s="14"/>
      <c r="J22" s="63"/>
      <c r="L22" s="63"/>
      <c r="AT22" s="3"/>
    </row>
    <row r="23" spans="3:46" x14ac:dyDescent="0.25">
      <c r="E23" s="32"/>
      <c r="F23" s="23" t="s">
        <v>190</v>
      </c>
      <c r="G23" s="23" t="s">
        <v>166</v>
      </c>
      <c r="H23" s="129"/>
      <c r="I23" s="23"/>
      <c r="J23" s="107">
        <f>'Standing charge factors'!J44</f>
        <v>0</v>
      </c>
      <c r="K23" s="107">
        <f>'Standing charge factors'!K44</f>
        <v>0</v>
      </c>
      <c r="L23" s="107">
        <f>'Standing charge factors'!L44</f>
        <v>0</v>
      </c>
      <c r="M23" s="107">
        <f>'Standing charge factors'!M44</f>
        <v>0</v>
      </c>
      <c r="N23" s="107">
        <f>'Standing charge factors'!N44</f>
        <v>0</v>
      </c>
      <c r="O23" s="107">
        <f>'Standing charge factors'!O44</f>
        <v>0</v>
      </c>
      <c r="P23" s="107">
        <f>'Standing charge factors'!P44</f>
        <v>0</v>
      </c>
      <c r="Q23" s="107">
        <f>'Standing charge factors'!Q44</f>
        <v>0</v>
      </c>
      <c r="R23" s="107">
        <f>'Standing charge factors'!R44</f>
        <v>0</v>
      </c>
      <c r="S23" s="107">
        <f>'Standing charge factors'!S44</f>
        <v>0</v>
      </c>
      <c r="T23" s="107">
        <f>'Standing charge factors'!T44</f>
        <v>0</v>
      </c>
      <c r="U23" s="107">
        <f>'Standing charge factors'!U44</f>
        <v>0</v>
      </c>
      <c r="V23" s="107">
        <f>'Standing charge factors'!V44</f>
        <v>0</v>
      </c>
      <c r="W23" s="107">
        <f>'Standing charge factors'!W44</f>
        <v>0</v>
      </c>
      <c r="X23" s="107">
        <f>'Standing charge factors'!X44</f>
        <v>0</v>
      </c>
      <c r="Y23" s="107">
        <f>'Standing charge factors'!Y44</f>
        <v>0</v>
      </c>
      <c r="Z23" s="107">
        <f>'Standing charge factors'!Z44</f>
        <v>0</v>
      </c>
      <c r="AA23" s="107">
        <f>'Standing charge factors'!AA44</f>
        <v>0</v>
      </c>
      <c r="AB23" s="107">
        <f>'Standing charge factors'!AB44</f>
        <v>0</v>
      </c>
      <c r="AT23" s="3"/>
    </row>
    <row r="24" spans="3:46" x14ac:dyDescent="0.25">
      <c r="E24" s="32"/>
      <c r="F24" t="s">
        <v>191</v>
      </c>
      <c r="G24" t="s">
        <v>166</v>
      </c>
      <c r="H24" s="63"/>
      <c r="J24" s="25">
        <f>'Standing charge factors'!J45</f>
        <v>0</v>
      </c>
      <c r="K24" s="25">
        <f>'Standing charge factors'!K45</f>
        <v>0</v>
      </c>
      <c r="L24" s="25">
        <f>'Standing charge factors'!L45</f>
        <v>0</v>
      </c>
      <c r="M24" s="25">
        <f>'Standing charge factors'!M45</f>
        <v>0</v>
      </c>
      <c r="N24" s="25">
        <f>'Standing charge factors'!N45</f>
        <v>0</v>
      </c>
      <c r="O24" s="25">
        <f>'Standing charge factors'!O45</f>
        <v>0</v>
      </c>
      <c r="P24" s="25">
        <f>'Standing charge factors'!P45</f>
        <v>0</v>
      </c>
      <c r="Q24" s="25">
        <f>'Standing charge factors'!Q45</f>
        <v>0</v>
      </c>
      <c r="R24" s="25">
        <f>'Standing charge factors'!R45</f>
        <v>0</v>
      </c>
      <c r="S24" s="25">
        <f>'Standing charge factors'!S45</f>
        <v>0</v>
      </c>
      <c r="T24" s="25">
        <f>'Standing charge factors'!T45</f>
        <v>0</v>
      </c>
      <c r="U24" s="25">
        <f>'Standing charge factors'!U45</f>
        <v>0</v>
      </c>
      <c r="V24" s="25">
        <f>'Standing charge factors'!V45</f>
        <v>0</v>
      </c>
      <c r="W24" s="25">
        <f>'Standing charge factors'!W45</f>
        <v>0</v>
      </c>
      <c r="X24" s="25">
        <f>'Standing charge factors'!X45</f>
        <v>0</v>
      </c>
      <c r="Y24" s="25">
        <f>'Standing charge factors'!Y45</f>
        <v>0</v>
      </c>
      <c r="Z24" s="25">
        <f>'Standing charge factors'!Z45</f>
        <v>0</v>
      </c>
      <c r="AA24" s="25">
        <f>'Standing charge factors'!AA45</f>
        <v>0</v>
      </c>
      <c r="AB24" s="25">
        <f>'Standing charge factors'!AB45</f>
        <v>0</v>
      </c>
      <c r="AT24" s="3"/>
    </row>
    <row r="25" spans="3:46" x14ac:dyDescent="0.25">
      <c r="E25" s="32"/>
      <c r="F25" t="s">
        <v>192</v>
      </c>
      <c r="G25" t="s">
        <v>166</v>
      </c>
      <c r="H25" s="63"/>
      <c r="J25" s="25">
        <f>'Standing charge factors'!J46</f>
        <v>0</v>
      </c>
      <c r="K25" s="25">
        <f>'Standing charge factors'!K46</f>
        <v>0</v>
      </c>
      <c r="L25" s="25">
        <f>'Standing charge factors'!L46</f>
        <v>0</v>
      </c>
      <c r="M25" s="25">
        <f>'Standing charge factors'!M46</f>
        <v>0</v>
      </c>
      <c r="N25" s="25">
        <f>'Standing charge factors'!N46</f>
        <v>0</v>
      </c>
      <c r="O25" s="25">
        <f>'Standing charge factors'!O46</f>
        <v>0</v>
      </c>
      <c r="P25" s="25">
        <f>'Standing charge factors'!P46</f>
        <v>0</v>
      </c>
      <c r="Q25" s="25">
        <f>'Standing charge factors'!Q46</f>
        <v>0</v>
      </c>
      <c r="R25" s="25">
        <f>'Standing charge factors'!R46</f>
        <v>0</v>
      </c>
      <c r="S25" s="25">
        <f>'Standing charge factors'!S46</f>
        <v>0</v>
      </c>
      <c r="T25" s="25">
        <f>'Standing charge factors'!T46</f>
        <v>0</v>
      </c>
      <c r="U25" s="25">
        <f>'Standing charge factors'!U46</f>
        <v>0</v>
      </c>
      <c r="V25" s="25">
        <f>'Standing charge factors'!V46</f>
        <v>0</v>
      </c>
      <c r="W25" s="25">
        <f>'Standing charge factors'!W46</f>
        <v>0</v>
      </c>
      <c r="X25" s="25">
        <f>'Standing charge factors'!X46</f>
        <v>0</v>
      </c>
      <c r="Y25" s="25">
        <f>'Standing charge factors'!Y46</f>
        <v>0</v>
      </c>
      <c r="Z25" s="25">
        <f>'Standing charge factors'!Z46</f>
        <v>0</v>
      </c>
      <c r="AA25" s="25">
        <f>'Standing charge factors'!AA46</f>
        <v>0</v>
      </c>
      <c r="AB25" s="25">
        <f>'Standing charge factors'!AB46</f>
        <v>0</v>
      </c>
      <c r="AT25" s="3"/>
    </row>
    <row r="26" spans="3:46" x14ac:dyDescent="0.25">
      <c r="E26" s="32"/>
      <c r="F26" t="s">
        <v>193</v>
      </c>
      <c r="G26" t="s">
        <v>166</v>
      </c>
      <c r="H26" s="63"/>
      <c r="J26" s="25">
        <f>'Standing charge factors'!J47</f>
        <v>0</v>
      </c>
      <c r="K26" s="25">
        <f>'Standing charge factors'!K47</f>
        <v>0</v>
      </c>
      <c r="L26" s="25">
        <f>'Standing charge factors'!L47</f>
        <v>0</v>
      </c>
      <c r="M26" s="25">
        <f>'Standing charge factors'!M47</f>
        <v>0</v>
      </c>
      <c r="N26" s="25">
        <f>'Standing charge factors'!N47</f>
        <v>0</v>
      </c>
      <c r="O26" s="25">
        <f>'Standing charge factors'!O47</f>
        <v>0</v>
      </c>
      <c r="P26" s="25">
        <f>'Standing charge factors'!P47</f>
        <v>0.2</v>
      </c>
      <c r="Q26" s="25">
        <f>'Standing charge factors'!Q47</f>
        <v>0</v>
      </c>
      <c r="R26" s="25">
        <f>'Standing charge factors'!R47</f>
        <v>0</v>
      </c>
      <c r="S26" s="25">
        <f>'Standing charge factors'!S47</f>
        <v>0.2</v>
      </c>
      <c r="T26" s="25">
        <f>'Standing charge factors'!T47</f>
        <v>0</v>
      </c>
      <c r="U26" s="25">
        <f>'Standing charge factors'!U47</f>
        <v>0</v>
      </c>
      <c r="V26" s="25">
        <f>'Standing charge factors'!V47</f>
        <v>0</v>
      </c>
      <c r="W26" s="25">
        <f>'Standing charge factors'!W47</f>
        <v>0</v>
      </c>
      <c r="X26" s="25">
        <f>'Standing charge factors'!X47</f>
        <v>0</v>
      </c>
      <c r="Y26" s="25">
        <f>'Standing charge factors'!Y47</f>
        <v>0</v>
      </c>
      <c r="Z26" s="25">
        <f>'Standing charge factors'!Z47</f>
        <v>0</v>
      </c>
      <c r="AA26" s="25">
        <f>'Standing charge factors'!AA47</f>
        <v>0</v>
      </c>
      <c r="AB26" s="25">
        <f>'Standing charge factors'!AB47</f>
        <v>0</v>
      </c>
      <c r="AT26" s="3"/>
    </row>
    <row r="27" spans="3:46" x14ac:dyDescent="0.25">
      <c r="E27" s="32"/>
      <c r="F27" t="s">
        <v>194</v>
      </c>
      <c r="G27" t="s">
        <v>166</v>
      </c>
      <c r="H27" s="63"/>
      <c r="J27" s="25">
        <f>'Standing charge factors'!J48</f>
        <v>0</v>
      </c>
      <c r="K27" s="25">
        <f>'Standing charge factors'!K48</f>
        <v>0</v>
      </c>
      <c r="L27" s="25">
        <f>'Standing charge factors'!L48</f>
        <v>0</v>
      </c>
      <c r="M27" s="25">
        <f>'Standing charge factors'!M48</f>
        <v>0</v>
      </c>
      <c r="N27" s="25">
        <f>'Standing charge factors'!N48</f>
        <v>0</v>
      </c>
      <c r="O27" s="25">
        <f>'Standing charge factors'!O48</f>
        <v>0</v>
      </c>
      <c r="P27" s="25">
        <f>'Standing charge factors'!P48</f>
        <v>1</v>
      </c>
      <c r="Q27" s="25">
        <f>'Standing charge factors'!Q48</f>
        <v>0</v>
      </c>
      <c r="R27" s="25">
        <f>'Standing charge factors'!R48</f>
        <v>0</v>
      </c>
      <c r="S27" s="25">
        <f>'Standing charge factors'!S48</f>
        <v>1</v>
      </c>
      <c r="T27" s="25">
        <f>'Standing charge factors'!T48</f>
        <v>0</v>
      </c>
      <c r="U27" s="25">
        <f>'Standing charge factors'!U48</f>
        <v>0</v>
      </c>
      <c r="V27" s="25">
        <f>'Standing charge factors'!V48</f>
        <v>0</v>
      </c>
      <c r="W27" s="25">
        <f>'Standing charge factors'!W48</f>
        <v>0</v>
      </c>
      <c r="X27" s="25">
        <f>'Standing charge factors'!X48</f>
        <v>0</v>
      </c>
      <c r="Y27" s="25">
        <f>'Standing charge factors'!Y48</f>
        <v>0</v>
      </c>
      <c r="Z27" s="25">
        <f>'Standing charge factors'!Z48</f>
        <v>0</v>
      </c>
      <c r="AA27" s="25">
        <f>'Standing charge factors'!AA48</f>
        <v>0</v>
      </c>
      <c r="AB27" s="25">
        <f>'Standing charge factors'!AB48</f>
        <v>0</v>
      </c>
      <c r="AT27" s="3"/>
    </row>
    <row r="28" spans="3:46" x14ac:dyDescent="0.25">
      <c r="E28" s="32"/>
      <c r="F28" t="s">
        <v>195</v>
      </c>
      <c r="G28" t="s">
        <v>166</v>
      </c>
      <c r="H28" s="63"/>
      <c r="J28" s="25">
        <f>'Standing charge factors'!J49</f>
        <v>0</v>
      </c>
      <c r="K28" s="25">
        <f>'Standing charge factors'!K49</f>
        <v>0</v>
      </c>
      <c r="L28" s="25">
        <f>'Standing charge factors'!L49</f>
        <v>0</v>
      </c>
      <c r="M28" s="25">
        <f>'Standing charge factors'!M49</f>
        <v>0</v>
      </c>
      <c r="N28" s="25">
        <f>'Standing charge factors'!N49</f>
        <v>0</v>
      </c>
      <c r="O28" s="25">
        <f>'Standing charge factors'!O49</f>
        <v>0</v>
      </c>
      <c r="P28" s="25">
        <f>'Standing charge factors'!P49</f>
        <v>1</v>
      </c>
      <c r="Q28" s="25">
        <f>'Standing charge factors'!Q49</f>
        <v>0</v>
      </c>
      <c r="R28" s="25">
        <f>'Standing charge factors'!R49</f>
        <v>0</v>
      </c>
      <c r="S28" s="25">
        <f>'Standing charge factors'!S49</f>
        <v>1</v>
      </c>
      <c r="T28" s="25">
        <f>'Standing charge factors'!T49</f>
        <v>0</v>
      </c>
      <c r="U28" s="25">
        <f>'Standing charge factors'!U49</f>
        <v>0</v>
      </c>
      <c r="V28" s="25">
        <f>'Standing charge factors'!V49</f>
        <v>0</v>
      </c>
      <c r="W28" s="25">
        <f>'Standing charge factors'!W49</f>
        <v>0</v>
      </c>
      <c r="X28" s="25">
        <f>'Standing charge factors'!X49</f>
        <v>0</v>
      </c>
      <c r="Y28" s="25">
        <f>'Standing charge factors'!Y49</f>
        <v>0</v>
      </c>
      <c r="Z28" s="25">
        <f>'Standing charge factors'!Z49</f>
        <v>0</v>
      </c>
      <c r="AA28" s="25">
        <f>'Standing charge factors'!AA49</f>
        <v>0</v>
      </c>
      <c r="AB28" s="25">
        <f>'Standing charge factors'!AB49</f>
        <v>0</v>
      </c>
      <c r="AT28" s="3"/>
    </row>
    <row r="29" spans="3:46" x14ac:dyDescent="0.25">
      <c r="E29" s="32"/>
      <c r="F29" t="s">
        <v>196</v>
      </c>
      <c r="G29" t="s">
        <v>166</v>
      </c>
      <c r="H29" s="63"/>
      <c r="J29" s="25">
        <f>'Standing charge factors'!J50</f>
        <v>0</v>
      </c>
      <c r="K29" s="25">
        <f>'Standing charge factors'!K50</f>
        <v>0</v>
      </c>
      <c r="L29" s="25">
        <f>'Standing charge factors'!L50</f>
        <v>0</v>
      </c>
      <c r="M29" s="25">
        <f>'Standing charge factors'!M50</f>
        <v>0</v>
      </c>
      <c r="N29" s="25">
        <f>'Standing charge factors'!N50</f>
        <v>0.2</v>
      </c>
      <c r="O29" s="25">
        <f>'Standing charge factors'!O50</f>
        <v>1</v>
      </c>
      <c r="P29" s="25">
        <f>'Standing charge factors'!P50</f>
        <v>1</v>
      </c>
      <c r="Q29" s="25">
        <f>'Standing charge factors'!Q50</f>
        <v>0.2</v>
      </c>
      <c r="R29" s="25">
        <f>'Standing charge factors'!R50</f>
        <v>1</v>
      </c>
      <c r="S29" s="25">
        <f>'Standing charge factors'!S50</f>
        <v>1</v>
      </c>
      <c r="T29" s="25">
        <f>'Standing charge factors'!T50</f>
        <v>0</v>
      </c>
      <c r="U29" s="25">
        <f>'Standing charge factors'!U50</f>
        <v>0</v>
      </c>
      <c r="V29" s="25">
        <f>'Standing charge factors'!V50</f>
        <v>0</v>
      </c>
      <c r="W29" s="25">
        <f>'Standing charge factors'!W50</f>
        <v>0</v>
      </c>
      <c r="X29" s="25">
        <f>'Standing charge factors'!X50</f>
        <v>0</v>
      </c>
      <c r="Y29" s="25">
        <f>'Standing charge factors'!Y50</f>
        <v>0</v>
      </c>
      <c r="Z29" s="25">
        <f>'Standing charge factors'!Z50</f>
        <v>0</v>
      </c>
      <c r="AA29" s="25">
        <f>'Standing charge factors'!AA50</f>
        <v>0</v>
      </c>
      <c r="AB29" s="25">
        <f>'Standing charge factors'!AB50</f>
        <v>0</v>
      </c>
      <c r="AT29" s="3"/>
    </row>
    <row r="30" spans="3:46" x14ac:dyDescent="0.25">
      <c r="E30" s="32"/>
      <c r="F30" t="s">
        <v>197</v>
      </c>
      <c r="G30" t="s">
        <v>166</v>
      </c>
      <c r="H30" s="63"/>
      <c r="J30" s="25">
        <f>'Standing charge factors'!J51</f>
        <v>0</v>
      </c>
      <c r="K30" s="25">
        <f>'Standing charge factors'!K51</f>
        <v>0</v>
      </c>
      <c r="L30" s="25">
        <f>'Standing charge factors'!L51</f>
        <v>0</v>
      </c>
      <c r="M30" s="25">
        <f>'Standing charge factors'!M51</f>
        <v>0</v>
      </c>
      <c r="N30" s="25">
        <f>'Standing charge factors'!N51</f>
        <v>1</v>
      </c>
      <c r="O30" s="25">
        <f>'Standing charge factors'!O51</f>
        <v>1</v>
      </c>
      <c r="P30" s="25">
        <f>'Standing charge factors'!P51</f>
        <v>0</v>
      </c>
      <c r="Q30" s="25">
        <f>'Standing charge factors'!Q51</f>
        <v>1</v>
      </c>
      <c r="R30" s="25">
        <f>'Standing charge factors'!R51</f>
        <v>1</v>
      </c>
      <c r="S30" s="25">
        <f>'Standing charge factors'!S51</f>
        <v>0</v>
      </c>
      <c r="T30" s="25">
        <f>'Standing charge factors'!T51</f>
        <v>0</v>
      </c>
      <c r="U30" s="25">
        <f>'Standing charge factors'!U51</f>
        <v>0</v>
      </c>
      <c r="V30" s="25">
        <f>'Standing charge factors'!V51</f>
        <v>0</v>
      </c>
      <c r="W30" s="25">
        <f>'Standing charge factors'!W51</f>
        <v>0</v>
      </c>
      <c r="X30" s="25">
        <f>'Standing charge factors'!X51</f>
        <v>0</v>
      </c>
      <c r="Y30" s="25">
        <f>'Standing charge factors'!Y51</f>
        <v>0</v>
      </c>
      <c r="Z30" s="25">
        <f>'Standing charge factors'!Z51</f>
        <v>0</v>
      </c>
      <c r="AA30" s="25">
        <f>'Standing charge factors'!AA51</f>
        <v>0</v>
      </c>
      <c r="AB30" s="25">
        <f>'Standing charge factors'!AB51</f>
        <v>0</v>
      </c>
      <c r="AT30" s="3"/>
    </row>
    <row r="31" spans="3:46" x14ac:dyDescent="0.25">
      <c r="E31" s="32"/>
      <c r="F31" s="37" t="s">
        <v>198</v>
      </c>
      <c r="G31" s="37" t="s">
        <v>166</v>
      </c>
      <c r="H31" s="130"/>
      <c r="I31" s="37"/>
      <c r="J31" s="141">
        <f>'Standing charge factors'!J52</f>
        <v>1</v>
      </c>
      <c r="K31" s="141">
        <f>'Standing charge factors'!K52</f>
        <v>1</v>
      </c>
      <c r="L31" s="141">
        <f>'Standing charge factors'!L52</f>
        <v>1</v>
      </c>
      <c r="M31" s="141">
        <f>'Standing charge factors'!M52</f>
        <v>1</v>
      </c>
      <c r="N31" s="141">
        <f>'Standing charge factors'!N52</f>
        <v>1</v>
      </c>
      <c r="O31" s="141">
        <f>'Standing charge factors'!O52</f>
        <v>0</v>
      </c>
      <c r="P31" s="141">
        <f>'Standing charge factors'!P52</f>
        <v>0</v>
      </c>
      <c r="Q31" s="141">
        <f>'Standing charge factors'!Q52</f>
        <v>1</v>
      </c>
      <c r="R31" s="141">
        <f>'Standing charge factors'!R52</f>
        <v>0</v>
      </c>
      <c r="S31" s="141">
        <f>'Standing charge factors'!S52</f>
        <v>0</v>
      </c>
      <c r="T31" s="141">
        <f>'Standing charge factors'!T52</f>
        <v>0</v>
      </c>
      <c r="U31" s="141">
        <f>'Standing charge factors'!U52</f>
        <v>0</v>
      </c>
      <c r="V31" s="141">
        <f>'Standing charge factors'!V52</f>
        <v>0</v>
      </c>
      <c r="W31" s="141">
        <f>'Standing charge factors'!W52</f>
        <v>0</v>
      </c>
      <c r="X31" s="141">
        <f>'Standing charge factors'!X52</f>
        <v>0</v>
      </c>
      <c r="Y31" s="141">
        <f>'Standing charge factors'!Y52</f>
        <v>0</v>
      </c>
      <c r="Z31" s="141">
        <f>'Standing charge factors'!Z52</f>
        <v>0</v>
      </c>
      <c r="AA31" s="141">
        <f>'Standing charge factors'!AA52</f>
        <v>0</v>
      </c>
      <c r="AB31" s="141">
        <f>'Standing charge factors'!AB52</f>
        <v>0</v>
      </c>
      <c r="AT31" s="3"/>
    </row>
    <row r="32" spans="3:46" x14ac:dyDescent="0.25">
      <c r="E32" s="32"/>
      <c r="J32" s="63"/>
      <c r="K32" s="63"/>
      <c r="L32" s="63"/>
      <c r="M32" s="63"/>
      <c r="N32" s="63"/>
      <c r="O32" s="63"/>
      <c r="P32" s="63"/>
      <c r="Q32" s="63"/>
      <c r="R32" s="63"/>
      <c r="S32" s="63"/>
      <c r="T32" s="63"/>
      <c r="U32" s="63"/>
      <c r="V32" s="63"/>
      <c r="W32" s="63"/>
      <c r="X32" s="63"/>
      <c r="Y32" s="63"/>
      <c r="Z32" s="63"/>
      <c r="AA32" s="63"/>
      <c r="AB32" s="63"/>
      <c r="AT32" s="3"/>
    </row>
    <row r="33" spans="5:46" x14ac:dyDescent="0.25">
      <c r="E33" s="32" t="s">
        <v>497</v>
      </c>
      <c r="I33" t="s">
        <v>153</v>
      </c>
      <c r="J33" s="63"/>
      <c r="K33" s="63"/>
      <c r="L33" s="63"/>
      <c r="M33" s="63"/>
      <c r="N33" s="63"/>
      <c r="O33" s="63"/>
      <c r="P33" s="63"/>
      <c r="Q33" s="63"/>
      <c r="R33" s="63"/>
      <c r="S33" s="63"/>
      <c r="T33" s="63"/>
      <c r="U33" s="63"/>
      <c r="V33" s="63"/>
      <c r="W33" s="63"/>
      <c r="X33" s="63"/>
      <c r="Y33" s="63"/>
      <c r="Z33" s="63"/>
      <c r="AA33" s="63"/>
      <c r="AB33" s="63"/>
      <c r="AD33" t="s">
        <v>498</v>
      </c>
      <c r="AT33" s="3"/>
    </row>
    <row r="34" spans="5:46" x14ac:dyDescent="0.25">
      <c r="E34" s="32"/>
      <c r="F34" s="23" t="s">
        <v>190</v>
      </c>
      <c r="G34" s="23" t="s">
        <v>282</v>
      </c>
      <c r="H34" s="158"/>
      <c r="I34" s="158"/>
      <c r="J34" s="124">
        <f t="array" ref="J34:AB42">TRANSPOSE('Load &amp; loss characteristics'!K160:S178)</f>
        <v>1.0980000000000001</v>
      </c>
      <c r="K34" s="124">
        <v>1.0980000000000001</v>
      </c>
      <c r="L34" s="124">
        <v>1.0980000000000001</v>
      </c>
      <c r="M34" s="124">
        <v>1.0980000000000001</v>
      </c>
      <c r="N34" s="124">
        <v>1.0980000000000001</v>
      </c>
      <c r="O34" s="124">
        <v>1.044</v>
      </c>
      <c r="P34" s="124">
        <v>1.026</v>
      </c>
      <c r="Q34" s="124">
        <v>1.0980000000000001</v>
      </c>
      <c r="R34" s="124">
        <v>1.044</v>
      </c>
      <c r="S34" s="124">
        <v>1.026</v>
      </c>
      <c r="T34" s="124">
        <v>1.0980000000000001</v>
      </c>
      <c r="U34" s="124">
        <v>-1.0980000000000001</v>
      </c>
      <c r="V34" s="124">
        <v>-1.044</v>
      </c>
      <c r="W34" s="124">
        <v>-1.0980000000000001</v>
      </c>
      <c r="X34" s="124">
        <v>-1.0980000000000001</v>
      </c>
      <c r="Y34" s="124">
        <v>-1.044</v>
      </c>
      <c r="Z34" s="124">
        <v>-1.044</v>
      </c>
      <c r="AA34" s="124">
        <v>-1.026</v>
      </c>
      <c r="AB34" s="124">
        <v>-1.026</v>
      </c>
      <c r="AT34" s="3"/>
    </row>
    <row r="35" spans="5:46" x14ac:dyDescent="0.25">
      <c r="E35" s="32"/>
      <c r="F35" t="s">
        <v>191</v>
      </c>
      <c r="G35" t="s">
        <v>282</v>
      </c>
      <c r="H35" s="89"/>
      <c r="I35" s="89"/>
      <c r="J35" s="120">
        <v>1.0980000000000001</v>
      </c>
      <c r="K35" s="120">
        <v>1.0980000000000001</v>
      </c>
      <c r="L35" s="120">
        <v>1.0980000000000001</v>
      </c>
      <c r="M35" s="120">
        <v>1.0980000000000001</v>
      </c>
      <c r="N35" s="120">
        <v>1.0980000000000001</v>
      </c>
      <c r="O35" s="120">
        <v>1.044</v>
      </c>
      <c r="P35" s="120">
        <v>1.026</v>
      </c>
      <c r="Q35" s="120">
        <v>1.0980000000000001</v>
      </c>
      <c r="R35" s="120">
        <v>1.044</v>
      </c>
      <c r="S35" s="120">
        <v>1.026</v>
      </c>
      <c r="T35" s="120">
        <v>1.0980000000000001</v>
      </c>
      <c r="U35" s="120">
        <v>-1.0980000000000001</v>
      </c>
      <c r="V35" s="120">
        <v>-1.044</v>
      </c>
      <c r="W35" s="120">
        <v>-1.0980000000000001</v>
      </c>
      <c r="X35" s="120">
        <v>-1.0980000000000001</v>
      </c>
      <c r="Y35" s="120">
        <v>-1.044</v>
      </c>
      <c r="Z35" s="120">
        <v>-1.044</v>
      </c>
      <c r="AA35" s="120">
        <v>-1.026</v>
      </c>
      <c r="AB35" s="120">
        <v>-1.026</v>
      </c>
      <c r="AT35" s="3"/>
    </row>
    <row r="36" spans="5:46" x14ac:dyDescent="0.25">
      <c r="E36" s="32"/>
      <c r="F36" t="s">
        <v>192</v>
      </c>
      <c r="G36" t="s">
        <v>282</v>
      </c>
      <c r="H36" s="89"/>
      <c r="I36" s="89"/>
      <c r="J36" s="120">
        <v>1.0980000000000001</v>
      </c>
      <c r="K36" s="120">
        <v>1.0980000000000001</v>
      </c>
      <c r="L36" s="120">
        <v>1.0980000000000001</v>
      </c>
      <c r="M36" s="120">
        <v>1.0980000000000001</v>
      </c>
      <c r="N36" s="120">
        <v>1.0980000000000001</v>
      </c>
      <c r="O36" s="120">
        <v>1.044</v>
      </c>
      <c r="P36" s="120">
        <v>1.026</v>
      </c>
      <c r="Q36" s="120">
        <v>1.0980000000000001</v>
      </c>
      <c r="R36" s="120">
        <v>1.044</v>
      </c>
      <c r="S36" s="120">
        <v>1.026</v>
      </c>
      <c r="T36" s="120">
        <v>1.0980000000000001</v>
      </c>
      <c r="U36" s="120">
        <v>-1.0980000000000001</v>
      </c>
      <c r="V36" s="120">
        <v>-1.044</v>
      </c>
      <c r="W36" s="120">
        <v>-1.0980000000000001</v>
      </c>
      <c r="X36" s="120">
        <v>-1.0980000000000001</v>
      </c>
      <c r="Y36" s="120">
        <v>-1.044</v>
      </c>
      <c r="Z36" s="120">
        <v>-1.044</v>
      </c>
      <c r="AA36" s="120">
        <v>-1.026</v>
      </c>
      <c r="AB36" s="120">
        <v>-1.026</v>
      </c>
      <c r="AT36" s="3"/>
    </row>
    <row r="37" spans="5:46" x14ac:dyDescent="0.25">
      <c r="E37" s="32"/>
      <c r="F37" t="s">
        <v>193</v>
      </c>
      <c r="G37" t="s">
        <v>282</v>
      </c>
      <c r="H37" s="89"/>
      <c r="I37" s="89"/>
      <c r="J37" s="120">
        <v>1.0980000000000001</v>
      </c>
      <c r="K37" s="120">
        <v>1.0980000000000001</v>
      </c>
      <c r="L37" s="120">
        <v>1.0980000000000001</v>
      </c>
      <c r="M37" s="120">
        <v>1.0980000000000001</v>
      </c>
      <c r="N37" s="120">
        <v>1.0980000000000001</v>
      </c>
      <c r="O37" s="120">
        <v>1.044</v>
      </c>
      <c r="P37" s="120">
        <v>1.026</v>
      </c>
      <c r="Q37" s="120">
        <v>1.0980000000000001</v>
      </c>
      <c r="R37" s="120">
        <v>1.044</v>
      </c>
      <c r="S37" s="120">
        <v>1.026</v>
      </c>
      <c r="T37" s="120">
        <v>1.0980000000000001</v>
      </c>
      <c r="U37" s="120">
        <v>-1.0980000000000001</v>
      </c>
      <c r="V37" s="120">
        <v>-1.044</v>
      </c>
      <c r="W37" s="120">
        <v>-1.0980000000000001</v>
      </c>
      <c r="X37" s="120">
        <v>-1.0980000000000001</v>
      </c>
      <c r="Y37" s="120">
        <v>-1.044</v>
      </c>
      <c r="Z37" s="120">
        <v>-1.044</v>
      </c>
      <c r="AA37" s="120">
        <v>-1.026</v>
      </c>
      <c r="AB37" s="120">
        <v>-1.026</v>
      </c>
      <c r="AT37" s="3"/>
    </row>
    <row r="38" spans="5:46" x14ac:dyDescent="0.25">
      <c r="E38" s="32"/>
      <c r="F38" t="s">
        <v>194</v>
      </c>
      <c r="G38" t="s">
        <v>282</v>
      </c>
      <c r="H38" s="89"/>
      <c r="I38" s="89"/>
      <c r="J38" s="120">
        <v>1.0980000000000001</v>
      </c>
      <c r="K38" s="120">
        <v>1.0980000000000001</v>
      </c>
      <c r="L38" s="120">
        <v>1.0980000000000001</v>
      </c>
      <c r="M38" s="120">
        <v>1.0980000000000001</v>
      </c>
      <c r="N38" s="120">
        <v>1.0980000000000001</v>
      </c>
      <c r="O38" s="120">
        <v>1.044</v>
      </c>
      <c r="P38" s="120">
        <v>1.026</v>
      </c>
      <c r="Q38" s="120">
        <v>1.0980000000000001</v>
      </c>
      <c r="R38" s="120">
        <v>1.044</v>
      </c>
      <c r="S38" s="120">
        <v>1.026</v>
      </c>
      <c r="T38" s="120">
        <v>1.0980000000000001</v>
      </c>
      <c r="U38" s="120">
        <v>-1.0980000000000001</v>
      </c>
      <c r="V38" s="120">
        <v>-1.044</v>
      </c>
      <c r="W38" s="120">
        <v>-1.0980000000000001</v>
      </c>
      <c r="X38" s="120">
        <v>-1.0980000000000001</v>
      </c>
      <c r="Y38" s="120">
        <v>-1.044</v>
      </c>
      <c r="Z38" s="120">
        <v>-1.044</v>
      </c>
      <c r="AA38" s="120">
        <v>-1.026</v>
      </c>
      <c r="AB38" s="120">
        <v>-1.026</v>
      </c>
      <c r="AT38" s="3"/>
    </row>
    <row r="39" spans="5:46" x14ac:dyDescent="0.25">
      <c r="E39" s="32"/>
      <c r="F39" t="s">
        <v>195</v>
      </c>
      <c r="G39" t="s">
        <v>282</v>
      </c>
      <c r="H39" s="89"/>
      <c r="I39" s="89"/>
      <c r="J39" s="120">
        <v>0</v>
      </c>
      <c r="K39" s="120">
        <v>0</v>
      </c>
      <c r="L39" s="120">
        <v>0</v>
      </c>
      <c r="M39" s="120">
        <v>0</v>
      </c>
      <c r="N39" s="120">
        <v>0</v>
      </c>
      <c r="O39" s="120">
        <v>0</v>
      </c>
      <c r="P39" s="120">
        <v>0</v>
      </c>
      <c r="Q39" s="120">
        <v>0</v>
      </c>
      <c r="R39" s="120">
        <v>0</v>
      </c>
      <c r="S39" s="120">
        <v>0</v>
      </c>
      <c r="T39" s="120">
        <v>0</v>
      </c>
      <c r="U39" s="120">
        <v>0</v>
      </c>
      <c r="V39" s="120">
        <v>0</v>
      </c>
      <c r="W39" s="120">
        <v>0</v>
      </c>
      <c r="X39" s="120">
        <v>0</v>
      </c>
      <c r="Y39" s="120">
        <v>0</v>
      </c>
      <c r="Z39" s="120">
        <v>0</v>
      </c>
      <c r="AA39" s="120">
        <v>0</v>
      </c>
      <c r="AB39" s="120">
        <v>0</v>
      </c>
      <c r="AT39" s="3"/>
    </row>
    <row r="40" spans="5:46" x14ac:dyDescent="0.25">
      <c r="E40" s="32"/>
      <c r="F40" t="s">
        <v>196</v>
      </c>
      <c r="G40" t="s">
        <v>282</v>
      </c>
      <c r="H40" s="89"/>
      <c r="I40" s="89"/>
      <c r="J40" s="120">
        <v>1.0980000000000001</v>
      </c>
      <c r="K40" s="120">
        <v>1.0980000000000001</v>
      </c>
      <c r="L40" s="120">
        <v>1.0980000000000001</v>
      </c>
      <c r="M40" s="120">
        <v>1.0980000000000001</v>
      </c>
      <c r="N40" s="120">
        <v>1.0980000000000001</v>
      </c>
      <c r="O40" s="120">
        <v>1.044</v>
      </c>
      <c r="P40" s="120">
        <v>1.026</v>
      </c>
      <c r="Q40" s="120">
        <v>1.0980000000000001</v>
      </c>
      <c r="R40" s="120">
        <v>1.044</v>
      </c>
      <c r="S40" s="120">
        <v>1.026</v>
      </c>
      <c r="T40" s="120">
        <v>1.0980000000000001</v>
      </c>
      <c r="U40" s="120">
        <v>-1.0980000000000001</v>
      </c>
      <c r="V40" s="120">
        <v>-1.044</v>
      </c>
      <c r="W40" s="120">
        <v>-1.0980000000000001</v>
      </c>
      <c r="X40" s="120">
        <v>-1.0980000000000001</v>
      </c>
      <c r="Y40" s="120">
        <v>-1.044</v>
      </c>
      <c r="Z40" s="120">
        <v>-1.044</v>
      </c>
      <c r="AA40" s="120">
        <v>0</v>
      </c>
      <c r="AB40" s="120">
        <v>0</v>
      </c>
      <c r="AT40" s="3"/>
    </row>
    <row r="41" spans="5:46" x14ac:dyDescent="0.25">
      <c r="E41" s="32"/>
      <c r="F41" t="s">
        <v>197</v>
      </c>
      <c r="G41" t="s">
        <v>282</v>
      </c>
      <c r="H41" s="89"/>
      <c r="I41" s="89"/>
      <c r="J41" s="120">
        <v>1.0980000000000001</v>
      </c>
      <c r="K41" s="120">
        <v>1.0980000000000001</v>
      </c>
      <c r="L41" s="120">
        <v>1.0980000000000001</v>
      </c>
      <c r="M41" s="120">
        <v>1.0980000000000001</v>
      </c>
      <c r="N41" s="120">
        <v>1.0980000000000001</v>
      </c>
      <c r="O41" s="120">
        <v>1.044</v>
      </c>
      <c r="P41" s="120">
        <v>0</v>
      </c>
      <c r="Q41" s="120">
        <v>1.0980000000000001</v>
      </c>
      <c r="R41" s="120">
        <v>1.044</v>
      </c>
      <c r="S41" s="120">
        <v>0</v>
      </c>
      <c r="T41" s="120">
        <v>1.0980000000000001</v>
      </c>
      <c r="U41" s="120">
        <v>-1.0980000000000001</v>
      </c>
      <c r="V41" s="120">
        <v>0</v>
      </c>
      <c r="W41" s="120">
        <v>-1.0980000000000001</v>
      </c>
      <c r="X41" s="120">
        <v>-1.0980000000000001</v>
      </c>
      <c r="Y41" s="120">
        <v>0</v>
      </c>
      <c r="Z41" s="120">
        <v>0</v>
      </c>
      <c r="AA41" s="120">
        <v>0</v>
      </c>
      <c r="AB41" s="120">
        <v>0</v>
      </c>
      <c r="AT41" s="3"/>
    </row>
    <row r="42" spans="5:46" x14ac:dyDescent="0.25">
      <c r="E42" s="32"/>
      <c r="F42" s="37" t="s">
        <v>198</v>
      </c>
      <c r="G42" s="37" t="s">
        <v>282</v>
      </c>
      <c r="H42" s="82"/>
      <c r="I42" s="82"/>
      <c r="J42" s="125">
        <v>1.0980000000000001</v>
      </c>
      <c r="K42" s="125">
        <v>1.0980000000000001</v>
      </c>
      <c r="L42" s="125">
        <v>1.0980000000000001</v>
      </c>
      <c r="M42" s="125">
        <v>1.0980000000000001</v>
      </c>
      <c r="N42" s="125">
        <v>1.0980000000000001</v>
      </c>
      <c r="O42" s="125">
        <v>0</v>
      </c>
      <c r="P42" s="125">
        <v>0</v>
      </c>
      <c r="Q42" s="125">
        <v>1.0980000000000001</v>
      </c>
      <c r="R42" s="125">
        <v>0</v>
      </c>
      <c r="S42" s="125">
        <v>0</v>
      </c>
      <c r="T42" s="125">
        <v>1.0980000000000001</v>
      </c>
      <c r="U42" s="125">
        <v>0</v>
      </c>
      <c r="V42" s="125">
        <v>0</v>
      </c>
      <c r="W42" s="125">
        <v>0</v>
      </c>
      <c r="X42" s="125">
        <v>0</v>
      </c>
      <c r="Y42" s="125">
        <v>0</v>
      </c>
      <c r="Z42" s="125">
        <v>0</v>
      </c>
      <c r="AA42" s="125">
        <v>0</v>
      </c>
      <c r="AB42" s="125">
        <v>0</v>
      </c>
      <c r="AT42" s="3"/>
    </row>
    <row r="43" spans="5:46" x14ac:dyDescent="0.25">
      <c r="E43" s="32"/>
      <c r="H43" s="89"/>
      <c r="I43" s="89"/>
      <c r="J43" s="89"/>
      <c r="K43" s="89"/>
      <c r="L43" s="89"/>
      <c r="M43" s="89"/>
      <c r="N43" s="89"/>
      <c r="O43" s="89"/>
      <c r="P43" s="89"/>
      <c r="Q43" s="89"/>
      <c r="R43" s="89"/>
      <c r="S43" s="89"/>
      <c r="T43" s="89"/>
      <c r="U43" s="89"/>
      <c r="V43" s="89"/>
      <c r="W43" s="89"/>
      <c r="X43" s="89"/>
      <c r="Y43" s="89"/>
      <c r="Z43" s="89"/>
      <c r="AA43" s="89"/>
      <c r="AB43" s="89"/>
      <c r="AT43" s="3"/>
    </row>
    <row r="44" spans="5:46" x14ac:dyDescent="0.25">
      <c r="E44" s="32" t="s">
        <v>499</v>
      </c>
      <c r="H44" s="89"/>
      <c r="I44" s="89"/>
      <c r="J44" s="89"/>
      <c r="K44" s="89"/>
      <c r="L44" s="89"/>
      <c r="M44" s="89"/>
      <c r="N44" s="89"/>
      <c r="O44" s="89"/>
      <c r="P44" s="89"/>
      <c r="Q44" s="89"/>
      <c r="R44" s="89"/>
      <c r="S44" s="89"/>
      <c r="T44" s="89"/>
      <c r="U44" s="89"/>
      <c r="V44" s="89"/>
      <c r="W44" s="89"/>
      <c r="X44" s="89"/>
      <c r="Y44" s="89"/>
      <c r="Z44" s="89"/>
      <c r="AA44" s="89"/>
      <c r="AB44" s="89"/>
      <c r="AT44" s="3"/>
    </row>
    <row r="45" spans="5:46" x14ac:dyDescent="0.25">
      <c r="E45" s="32"/>
      <c r="F45" s="23" t="s">
        <v>190</v>
      </c>
      <c r="G45" s="23" t="s">
        <v>282</v>
      </c>
      <c r="H45" s="124">
        <f>'Load &amp; loss characteristics'!K29</f>
        <v>1</v>
      </c>
      <c r="I45" s="89"/>
      <c r="J45" s="89"/>
      <c r="K45" s="89"/>
      <c r="L45" s="89"/>
      <c r="M45" s="89"/>
      <c r="N45" s="89"/>
      <c r="O45" s="89"/>
      <c r="P45" s="89"/>
      <c r="Q45" s="89"/>
      <c r="R45" s="89"/>
      <c r="S45" s="89"/>
      <c r="T45" s="89"/>
      <c r="U45" s="89"/>
      <c r="V45" s="89"/>
      <c r="W45" s="89"/>
      <c r="X45" s="89"/>
      <c r="Y45" s="89"/>
      <c r="Z45" s="89"/>
      <c r="AA45" s="89"/>
      <c r="AB45" s="89"/>
      <c r="AT45" s="3"/>
    </row>
    <row r="46" spans="5:46" x14ac:dyDescent="0.25">
      <c r="E46" s="32"/>
      <c r="F46" t="s">
        <v>191</v>
      </c>
      <c r="G46" t="s">
        <v>282</v>
      </c>
      <c r="H46" s="120">
        <f>'Load &amp; loss characteristics'!L29</f>
        <v>1</v>
      </c>
      <c r="I46" s="89"/>
      <c r="J46" s="89"/>
      <c r="K46" s="89"/>
      <c r="L46" s="89"/>
      <c r="M46" s="89"/>
      <c r="N46" s="89"/>
      <c r="O46" s="89"/>
      <c r="P46" s="89"/>
      <c r="Q46" s="89"/>
      <c r="R46" s="89"/>
      <c r="S46" s="89"/>
      <c r="T46" s="89"/>
      <c r="U46" s="89"/>
      <c r="V46" s="89"/>
      <c r="W46" s="89"/>
      <c r="X46" s="89"/>
      <c r="Y46" s="89"/>
      <c r="Z46" s="89"/>
      <c r="AA46" s="89"/>
      <c r="AB46" s="89"/>
      <c r="AT46" s="3"/>
    </row>
    <row r="47" spans="5:46" x14ac:dyDescent="0.25">
      <c r="E47" s="32"/>
      <c r="F47" t="s">
        <v>192</v>
      </c>
      <c r="G47" t="s">
        <v>282</v>
      </c>
      <c r="H47" s="120">
        <f>'Load &amp; loss characteristics'!M29</f>
        <v>1</v>
      </c>
      <c r="I47" s="89"/>
      <c r="J47" s="89"/>
      <c r="K47" s="89"/>
      <c r="L47" s="89"/>
      <c r="M47" s="89"/>
      <c r="N47" s="89"/>
      <c r="O47" s="89"/>
      <c r="P47" s="89"/>
      <c r="Q47" s="89"/>
      <c r="R47" s="89"/>
      <c r="S47" s="89"/>
      <c r="T47" s="89"/>
      <c r="U47" s="89"/>
      <c r="V47" s="89"/>
      <c r="W47" s="89"/>
      <c r="X47" s="89"/>
      <c r="Y47" s="89"/>
      <c r="Z47" s="89"/>
      <c r="AA47" s="89"/>
      <c r="AB47" s="89"/>
      <c r="AT47" s="3"/>
    </row>
    <row r="48" spans="5:46" x14ac:dyDescent="0.25">
      <c r="E48" s="32"/>
      <c r="F48" t="s">
        <v>193</v>
      </c>
      <c r="G48" t="s">
        <v>282</v>
      </c>
      <c r="H48" s="120">
        <f>'Load &amp; loss characteristics'!N29</f>
        <v>1.004</v>
      </c>
      <c r="I48" s="89"/>
      <c r="J48" s="89"/>
      <c r="K48" s="89"/>
      <c r="L48" s="89"/>
      <c r="M48" s="89"/>
      <c r="N48" s="89"/>
      <c r="O48" s="89"/>
      <c r="P48" s="89"/>
      <c r="Q48" s="89"/>
      <c r="R48" s="89"/>
      <c r="S48" s="89"/>
      <c r="T48" s="89"/>
      <c r="U48" s="89"/>
      <c r="V48" s="89"/>
      <c r="W48" s="89"/>
      <c r="X48" s="89"/>
      <c r="Y48" s="89"/>
      <c r="Z48" s="89"/>
      <c r="AA48" s="89"/>
      <c r="AB48" s="89"/>
      <c r="AT48" s="3"/>
    </row>
    <row r="49" spans="2:46" x14ac:dyDescent="0.25">
      <c r="E49" s="32"/>
      <c r="F49" t="s">
        <v>194</v>
      </c>
      <c r="G49" t="s">
        <v>282</v>
      </c>
      <c r="H49" s="120">
        <f>'Load &amp; loss characteristics'!O29</f>
        <v>1.0129999999999999</v>
      </c>
      <c r="I49" s="89"/>
      <c r="J49" s="89"/>
      <c r="K49" s="89"/>
      <c r="L49" s="89"/>
      <c r="M49" s="89"/>
      <c r="N49" s="89"/>
      <c r="O49" s="89"/>
      <c r="P49" s="89"/>
      <c r="Q49" s="89"/>
      <c r="R49" s="89"/>
      <c r="S49" s="89"/>
      <c r="T49" s="89"/>
      <c r="U49" s="89"/>
      <c r="V49" s="89"/>
      <c r="W49" s="89"/>
      <c r="X49" s="89"/>
      <c r="Y49" s="89"/>
      <c r="Z49" s="89"/>
      <c r="AA49" s="89"/>
      <c r="AB49" s="89"/>
      <c r="AT49" s="3"/>
    </row>
    <row r="50" spans="2:46" x14ac:dyDescent="0.25">
      <c r="E50" s="32"/>
      <c r="F50" t="s">
        <v>195</v>
      </c>
      <c r="G50" t="s">
        <v>282</v>
      </c>
      <c r="H50" s="120">
        <f>'Load &amp; loss characteristics'!P29</f>
        <v>1.0129999999999999</v>
      </c>
      <c r="I50" s="89"/>
      <c r="J50" s="89"/>
      <c r="K50" s="89"/>
      <c r="L50" s="89"/>
      <c r="M50" s="89"/>
      <c r="N50" s="89"/>
      <c r="O50" s="89"/>
      <c r="P50" s="89"/>
      <c r="Q50" s="89"/>
      <c r="R50" s="89"/>
      <c r="S50" s="89"/>
      <c r="T50" s="89"/>
      <c r="U50" s="89"/>
      <c r="V50" s="89"/>
      <c r="W50" s="89"/>
      <c r="X50" s="89"/>
      <c r="Y50" s="89"/>
      <c r="Z50" s="89"/>
      <c r="AA50" s="89"/>
      <c r="AB50" s="89"/>
      <c r="AT50" s="3"/>
    </row>
    <row r="51" spans="2:46" x14ac:dyDescent="0.25">
      <c r="E51" s="32"/>
      <c r="F51" t="s">
        <v>196</v>
      </c>
      <c r="G51" t="s">
        <v>282</v>
      </c>
      <c r="H51" s="120">
        <f>'Load &amp; loss characteristics'!Q29</f>
        <v>1.026</v>
      </c>
      <c r="I51" s="89"/>
      <c r="J51" s="89"/>
      <c r="K51" s="89"/>
      <c r="L51" s="89"/>
      <c r="M51" s="89"/>
      <c r="N51" s="89"/>
      <c r="O51" s="89"/>
      <c r="P51" s="89"/>
      <c r="Q51" s="89"/>
      <c r="R51" s="89"/>
      <c r="S51" s="89"/>
      <c r="T51" s="89"/>
      <c r="U51" s="89"/>
      <c r="V51" s="89"/>
      <c r="W51" s="89"/>
      <c r="X51" s="89"/>
      <c r="Y51" s="89"/>
      <c r="Z51" s="89"/>
      <c r="AA51" s="89"/>
      <c r="AB51" s="89"/>
      <c r="AT51" s="3"/>
    </row>
    <row r="52" spans="2:46" x14ac:dyDescent="0.25">
      <c r="E52" s="32"/>
      <c r="F52" t="s">
        <v>197</v>
      </c>
      <c r="G52" t="s">
        <v>282</v>
      </c>
      <c r="H52" s="120">
        <f>'Load &amp; loss characteristics'!R29</f>
        <v>1.044</v>
      </c>
      <c r="I52" s="89"/>
      <c r="J52" s="89"/>
      <c r="K52" s="89"/>
      <c r="L52" s="89"/>
      <c r="M52" s="89"/>
      <c r="N52" s="89"/>
      <c r="O52" s="89"/>
      <c r="P52" s="89"/>
      <c r="Q52" s="89"/>
      <c r="R52" s="89"/>
      <c r="S52" s="89"/>
      <c r="T52" s="89"/>
      <c r="U52" s="89"/>
      <c r="V52" s="89"/>
      <c r="W52" s="89"/>
      <c r="X52" s="89"/>
      <c r="Y52" s="89"/>
      <c r="Z52" s="89"/>
      <c r="AA52" s="89"/>
      <c r="AB52" s="89"/>
      <c r="AT52" s="3"/>
    </row>
    <row r="53" spans="2:46" x14ac:dyDescent="0.25">
      <c r="E53" s="32"/>
      <c r="F53" s="37" t="s">
        <v>198</v>
      </c>
      <c r="G53" s="37" t="s">
        <v>282</v>
      </c>
      <c r="H53" s="125">
        <f>'Load &amp; loss characteristics'!S29</f>
        <v>1.0980000000000001</v>
      </c>
      <c r="I53" s="89"/>
      <c r="J53" s="89"/>
      <c r="K53" s="89"/>
      <c r="L53" s="89"/>
      <c r="M53" s="89"/>
      <c r="N53" s="89"/>
      <c r="O53" s="89"/>
      <c r="P53" s="89"/>
      <c r="Q53" s="89"/>
      <c r="R53" s="89"/>
      <c r="S53" s="89"/>
      <c r="T53" s="89"/>
      <c r="U53" s="89"/>
      <c r="V53" s="89"/>
      <c r="W53" s="89"/>
      <c r="X53" s="89"/>
      <c r="Y53" s="89"/>
      <c r="Z53" s="89"/>
      <c r="AA53" s="89"/>
      <c r="AB53" s="89"/>
      <c r="AT53" s="3"/>
    </row>
    <row r="54" spans="2:46" x14ac:dyDescent="0.25">
      <c r="E54" s="32"/>
      <c r="H54" s="89"/>
      <c r="I54" s="89"/>
      <c r="J54" s="89"/>
      <c r="K54" s="89"/>
      <c r="L54" s="89"/>
      <c r="M54" s="89"/>
      <c r="N54" s="89"/>
      <c r="O54" s="89"/>
      <c r="P54" s="89"/>
      <c r="Q54" s="89"/>
      <c r="R54" s="89"/>
      <c r="S54" s="89"/>
      <c r="T54" s="89"/>
      <c r="U54" s="89"/>
      <c r="V54" s="89"/>
      <c r="W54" s="89"/>
      <c r="X54" s="89"/>
      <c r="Y54" s="89"/>
      <c r="Z54" s="89"/>
      <c r="AA54" s="89"/>
      <c r="AB54" s="89"/>
      <c r="AT54" s="3"/>
    </row>
    <row r="55" spans="2:46" x14ac:dyDescent="0.25">
      <c r="E55" s="32" t="s">
        <v>500</v>
      </c>
      <c r="H55" s="89"/>
      <c r="I55" s="89" t="s">
        <v>153</v>
      </c>
      <c r="J55" s="89"/>
      <c r="K55" s="89"/>
      <c r="L55" s="89"/>
      <c r="M55" s="89"/>
      <c r="N55" s="89"/>
      <c r="O55" s="89"/>
      <c r="P55" s="89"/>
      <c r="Q55" s="89"/>
      <c r="R55" s="89"/>
      <c r="S55" s="89"/>
      <c r="T55" s="89"/>
      <c r="U55" s="89"/>
      <c r="V55" s="89"/>
      <c r="W55" s="89"/>
      <c r="X55" s="89"/>
      <c r="Y55" s="89"/>
      <c r="Z55" s="89"/>
      <c r="AA55" s="89"/>
      <c r="AB55" s="89"/>
      <c r="AD55" t="s">
        <v>501</v>
      </c>
    </row>
    <row r="56" spans="2:46" x14ac:dyDescent="0.25">
      <c r="E56" s="32"/>
      <c r="F56" s="23" t="s">
        <v>155</v>
      </c>
      <c r="G56" s="23" t="s">
        <v>206</v>
      </c>
      <c r="H56" s="158"/>
      <c r="I56" s="158"/>
      <c r="J56" s="124">
        <f>'Volume adjustments'!J66</f>
        <v>744507.47595921555</v>
      </c>
      <c r="K56" s="124">
        <f>'Volume adjustments'!K66</f>
        <v>1327.5662846544521</v>
      </c>
      <c r="L56" s="124">
        <f>'Volume adjustments'!L66</f>
        <v>188973.52230875273</v>
      </c>
      <c r="M56" s="124">
        <f>'Volume adjustments'!M66</f>
        <v>4172.2410596369182</v>
      </c>
      <c r="N56" s="124">
        <f>'Volume adjustments'!N66</f>
        <v>282075.14358760114</v>
      </c>
      <c r="O56" s="124">
        <f>'Volume adjustments'!O66</f>
        <v>23010.444191422164</v>
      </c>
      <c r="P56" s="124">
        <f>'Volume adjustments'!P66</f>
        <v>326311.94038013439</v>
      </c>
      <c r="Q56" s="124">
        <f>'Volume adjustments'!Q66</f>
        <v>0</v>
      </c>
      <c r="R56" s="124">
        <f>'Volume adjustments'!R66</f>
        <v>0</v>
      </c>
      <c r="S56" s="124">
        <f>'Volume adjustments'!S66</f>
        <v>0</v>
      </c>
      <c r="T56" s="124">
        <f>'Volume adjustments'!T66</f>
        <v>13868.974697310709</v>
      </c>
      <c r="U56" s="124">
        <f>'Volume adjustments'!U66</f>
        <v>140.04079826565675</v>
      </c>
      <c r="V56" s="124">
        <f>'Volume adjustments'!V66</f>
        <v>2.8776284544589532</v>
      </c>
      <c r="W56" s="124">
        <f>'Volume adjustments'!W66</f>
        <v>6131.3814104814819</v>
      </c>
      <c r="X56" s="124">
        <f>'Volume adjustments'!X66</f>
        <v>0</v>
      </c>
      <c r="Y56" s="124">
        <f>'Volume adjustments'!Y66</f>
        <v>144.6141525623608</v>
      </c>
      <c r="Z56" s="124">
        <f>'Volume adjustments'!Z66</f>
        <v>0</v>
      </c>
      <c r="AA56" s="124">
        <f>'Volume adjustments'!AA66</f>
        <v>116075.81817719914</v>
      </c>
      <c r="AB56" s="124">
        <f>'Volume adjustments'!AB66</f>
        <v>0</v>
      </c>
      <c r="AT56" s="3"/>
    </row>
    <row r="57" spans="2:46" x14ac:dyDescent="0.25">
      <c r="E57" s="32"/>
      <c r="F57" t="s">
        <v>156</v>
      </c>
      <c r="G57" t="s">
        <v>206</v>
      </c>
      <c r="H57" s="89"/>
      <c r="I57" s="89"/>
      <c r="J57" s="120">
        <f>'Volume adjustments'!J77</f>
        <v>2645097.8394225296</v>
      </c>
      <c r="K57" s="120">
        <f>'Volume adjustments'!K77</f>
        <v>24035.071762789463</v>
      </c>
      <c r="L57" s="120">
        <f>'Volume adjustments'!L77</f>
        <v>1023624.1876166349</v>
      </c>
      <c r="M57" s="120">
        <f>'Volume adjustments'!M77</f>
        <v>25319.415482001521</v>
      </c>
      <c r="N57" s="120">
        <f>'Volume adjustments'!N77</f>
        <v>1350126.3314036345</v>
      </c>
      <c r="O57" s="120">
        <f>'Volume adjustments'!O77</f>
        <v>107501.34408049645</v>
      </c>
      <c r="P57" s="120">
        <f>'Volume adjustments'!P77</f>
        <v>1514334.2001053796</v>
      </c>
      <c r="Q57" s="120">
        <f>'Volume adjustments'!Q77</f>
        <v>0</v>
      </c>
      <c r="R57" s="120">
        <f>'Volume adjustments'!R77</f>
        <v>0</v>
      </c>
      <c r="S57" s="120">
        <f>'Volume adjustments'!S77</f>
        <v>0</v>
      </c>
      <c r="T57" s="120">
        <f>'Volume adjustments'!T77</f>
        <v>52882.399972899948</v>
      </c>
      <c r="U57" s="120">
        <f>'Volume adjustments'!U77</f>
        <v>628.61483547885325</v>
      </c>
      <c r="V57" s="120">
        <f>'Volume adjustments'!V77</f>
        <v>11.85801478940583</v>
      </c>
      <c r="W57" s="120">
        <f>'Volume adjustments'!W77</f>
        <v>27525.456251959484</v>
      </c>
      <c r="X57" s="120">
        <f>'Volume adjustments'!X77</f>
        <v>0</v>
      </c>
      <c r="Y57" s="120">
        <f>'Volume adjustments'!Y77</f>
        <v>597.34783091345412</v>
      </c>
      <c r="Z57" s="120">
        <f>'Volume adjustments'!Z77</f>
        <v>0</v>
      </c>
      <c r="AA57" s="120">
        <f>'Volume adjustments'!AA77</f>
        <v>445212.43930388504</v>
      </c>
      <c r="AB57" s="120">
        <f>'Volume adjustments'!AB77</f>
        <v>0</v>
      </c>
      <c r="AT57" s="3"/>
    </row>
    <row r="58" spans="2:46" x14ac:dyDescent="0.25">
      <c r="E58" s="32"/>
      <c r="F58" s="37" t="s">
        <v>157</v>
      </c>
      <c r="G58" s="37" t="s">
        <v>206</v>
      </c>
      <c r="H58" s="82"/>
      <c r="I58" s="82"/>
      <c r="J58" s="125">
        <f>'Volume adjustments'!J88</f>
        <v>2435994.0010482869</v>
      </c>
      <c r="K58" s="125">
        <f>'Volume adjustments'!K88</f>
        <v>245515.14232274992</v>
      </c>
      <c r="L58" s="125">
        <f>'Volume adjustments'!L88</f>
        <v>988714.59609282145</v>
      </c>
      <c r="M58" s="125">
        <f>'Volume adjustments'!M88</f>
        <v>52561.158034119573</v>
      </c>
      <c r="N58" s="125">
        <f>'Volume adjustments'!N88</f>
        <v>1179031.4355710328</v>
      </c>
      <c r="O58" s="125">
        <f>'Volume adjustments'!O88</f>
        <v>106315.97183163626</v>
      </c>
      <c r="P58" s="125">
        <f>'Volume adjustments'!P88</f>
        <v>1621310.6751782417</v>
      </c>
      <c r="Q58" s="125">
        <f>'Volume adjustments'!Q88</f>
        <v>0</v>
      </c>
      <c r="R58" s="125">
        <f>'Volume adjustments'!R88</f>
        <v>0</v>
      </c>
      <c r="S58" s="125">
        <f>'Volume adjustments'!S88</f>
        <v>0</v>
      </c>
      <c r="T58" s="125">
        <f>'Volume adjustments'!T88</f>
        <v>189423.97703070924</v>
      </c>
      <c r="U58" s="125">
        <f>'Volume adjustments'!U88</f>
        <v>700.98374497632642</v>
      </c>
      <c r="V58" s="125">
        <f>'Volume adjustments'!V88</f>
        <v>16.006356756135215</v>
      </c>
      <c r="W58" s="125">
        <f>'Volume adjustments'!W88</f>
        <v>30981.276337559029</v>
      </c>
      <c r="X58" s="125">
        <f>'Volume adjustments'!X88</f>
        <v>0</v>
      </c>
      <c r="Y58" s="125">
        <f>'Volume adjustments'!Y88</f>
        <v>807.27901652418518</v>
      </c>
      <c r="Z58" s="125">
        <f>'Volume adjustments'!Z88</f>
        <v>0</v>
      </c>
      <c r="AA58" s="125">
        <f>'Volume adjustments'!AA88</f>
        <v>507559.16751891578</v>
      </c>
      <c r="AB58" s="125">
        <f>'Volume adjustments'!AB88</f>
        <v>0</v>
      </c>
      <c r="AT58" s="3"/>
    </row>
    <row r="59" spans="2:46" x14ac:dyDescent="0.25">
      <c r="E59" s="32"/>
      <c r="F59" s="108" t="s">
        <v>502</v>
      </c>
      <c r="G59" s="108" t="s">
        <v>206</v>
      </c>
      <c r="H59" s="167"/>
      <c r="I59" s="167"/>
      <c r="J59" s="167">
        <f t="shared" ref="J59:AB59" si="0">SUM(J56:J58)</f>
        <v>5825599.3164300323</v>
      </c>
      <c r="K59" s="167">
        <f t="shared" si="0"/>
        <v>270877.78037019382</v>
      </c>
      <c r="L59" s="167">
        <f t="shared" si="0"/>
        <v>2201312.3060182091</v>
      </c>
      <c r="M59" s="167">
        <f t="shared" si="0"/>
        <v>82052.814575758006</v>
      </c>
      <c r="N59" s="167">
        <f t="shared" si="0"/>
        <v>2811232.9105622685</v>
      </c>
      <c r="O59" s="167">
        <f t="shared" si="0"/>
        <v>236827.76010355487</v>
      </c>
      <c r="P59" s="167">
        <f t="shared" si="0"/>
        <v>3461956.8156637559</v>
      </c>
      <c r="Q59" s="167">
        <f t="shared" ref="Q59:S59" si="1">SUM(Q56:Q58)</f>
        <v>0</v>
      </c>
      <c r="R59" s="167">
        <f t="shared" si="1"/>
        <v>0</v>
      </c>
      <c r="S59" s="167">
        <f t="shared" si="1"/>
        <v>0</v>
      </c>
      <c r="T59" s="167">
        <f t="shared" si="0"/>
        <v>256175.35170091991</v>
      </c>
      <c r="U59" s="167">
        <f t="shared" si="0"/>
        <v>1469.6393787208362</v>
      </c>
      <c r="V59" s="167">
        <f t="shared" si="0"/>
        <v>30.741999999999997</v>
      </c>
      <c r="W59" s="167">
        <f t="shared" si="0"/>
        <v>64638.113999999994</v>
      </c>
      <c r="X59" s="167">
        <f t="shared" si="0"/>
        <v>0</v>
      </c>
      <c r="Y59" s="167">
        <f t="shared" si="0"/>
        <v>1549.241</v>
      </c>
      <c r="Z59" s="167">
        <f t="shared" si="0"/>
        <v>0</v>
      </c>
      <c r="AA59" s="167">
        <f t="shared" si="0"/>
        <v>1068847.425</v>
      </c>
      <c r="AB59" s="167">
        <f t="shared" si="0"/>
        <v>0</v>
      </c>
      <c r="AT59" s="3"/>
    </row>
    <row r="60" spans="2:46" x14ac:dyDescent="0.25">
      <c r="D60" s="32"/>
      <c r="J60" s="63"/>
      <c r="L60" s="63"/>
      <c r="AT60" s="3"/>
    </row>
    <row r="61" spans="2:46" x14ac:dyDescent="0.25">
      <c r="C61" s="32"/>
      <c r="E61" s="28" t="s">
        <v>240</v>
      </c>
      <c r="F61" s="28"/>
      <c r="G61" s="28" t="s">
        <v>166</v>
      </c>
      <c r="I61" t="s">
        <v>153</v>
      </c>
      <c r="J61" s="25">
        <f>'Inputs by customer type'!J15</f>
        <v>0.44866666666666671</v>
      </c>
      <c r="K61" s="25">
        <f>'Inputs by customer type'!K15</f>
        <v>9.9666666666666667E-2</v>
      </c>
      <c r="L61" s="25">
        <f>'Inputs by customer type'!L15</f>
        <v>0.41666666666666669</v>
      </c>
      <c r="M61" s="25">
        <f>'Inputs by customer type'!M15</f>
        <v>0.32</v>
      </c>
      <c r="N61" s="25">
        <f>'Inputs by customer type'!N15</f>
        <v>0.55600000000000005</v>
      </c>
      <c r="O61" s="25">
        <f>'Inputs by customer type'!O15</f>
        <v>0.67266666666666675</v>
      </c>
      <c r="P61" s="25">
        <f>'Inputs by customer type'!P15</f>
        <v>0.73533333333333328</v>
      </c>
      <c r="Q61" s="25">
        <f>'Inputs by customer type'!Q15</f>
        <v>0.55600000000000005</v>
      </c>
      <c r="R61" s="25">
        <f>'Inputs by customer type'!R15</f>
        <v>0.67266666666666675</v>
      </c>
      <c r="S61" s="25">
        <f>'Inputs by customer type'!S15</f>
        <v>0.73533333333333328</v>
      </c>
      <c r="T61" s="25">
        <f>'Inputs by customer type'!T15</f>
        <v>0.45833333333333331</v>
      </c>
      <c r="U61" s="70"/>
      <c r="V61" s="70"/>
      <c r="W61" s="70"/>
      <c r="X61" s="70"/>
      <c r="Y61" s="70"/>
      <c r="Z61" s="70"/>
      <c r="AA61" s="70"/>
      <c r="AB61" s="70"/>
      <c r="AD61" t="s">
        <v>503</v>
      </c>
      <c r="AT61" s="3"/>
    </row>
    <row r="63" spans="2:46" x14ac:dyDescent="0.25">
      <c r="B63" s="30" t="s">
        <v>504</v>
      </c>
      <c r="C63" s="30"/>
      <c r="D63" s="30"/>
      <c r="E63" s="30"/>
      <c r="F63" s="30"/>
      <c r="G63" s="30"/>
      <c r="H63" s="30"/>
      <c r="I63" s="30"/>
      <c r="J63" s="133"/>
      <c r="K63" s="30"/>
      <c r="L63" s="133"/>
      <c r="M63" s="30"/>
      <c r="N63" s="30"/>
      <c r="O63" s="30"/>
      <c r="P63" s="30"/>
      <c r="Q63" s="30"/>
      <c r="R63" s="30"/>
      <c r="S63" s="30"/>
      <c r="T63" s="30"/>
      <c r="U63" s="30"/>
      <c r="V63" s="30"/>
      <c r="W63" s="30"/>
      <c r="X63" s="30"/>
      <c r="Y63" s="30"/>
      <c r="Z63" s="30"/>
      <c r="AA63" s="30"/>
      <c r="AB63" s="30"/>
      <c r="AC63" s="30"/>
      <c r="AD63" s="30"/>
      <c r="AT63" s="3"/>
    </row>
    <row r="64" spans="2:46" x14ac:dyDescent="0.25">
      <c r="C64" s="32"/>
      <c r="J64" s="63"/>
      <c r="L64" s="63"/>
      <c r="AT64" s="3"/>
    </row>
    <row r="65" spans="3:46" x14ac:dyDescent="0.25">
      <c r="C65" s="29" t="s">
        <v>505</v>
      </c>
      <c r="J65" s="63"/>
      <c r="L65" s="63"/>
      <c r="AT65" s="3"/>
    </row>
    <row r="66" spans="3:46" x14ac:dyDescent="0.25">
      <c r="C66" s="32"/>
      <c r="J66" s="63"/>
      <c r="L66" s="63"/>
      <c r="AT66" s="3"/>
    </row>
    <row r="67" spans="3:46" x14ac:dyDescent="0.25">
      <c r="C67" s="31" t="str">
        <f ca="1">INDEX('Version control'!$H$34:$H$57,MATCH($A$1,'Version control'!$F$34:$F$57,0),1)&amp;"-B: System peak load, by unit rate"</f>
        <v>Section 106-B: System peak load, by unit rate</v>
      </c>
      <c r="D67" s="31"/>
      <c r="E67" s="31"/>
      <c r="F67" s="31"/>
      <c r="G67" s="31"/>
      <c r="H67" s="31"/>
      <c r="I67" s="31"/>
      <c r="J67" s="31"/>
      <c r="K67" s="31"/>
      <c r="L67" s="31"/>
      <c r="M67" s="31"/>
      <c r="N67" s="31"/>
      <c r="O67" s="31"/>
      <c r="P67" s="31"/>
      <c r="Q67" s="31"/>
      <c r="R67" s="31"/>
      <c r="S67" s="31"/>
      <c r="T67" s="31"/>
      <c r="U67" s="31"/>
      <c r="V67" s="31"/>
      <c r="W67" s="31"/>
      <c r="X67" s="31"/>
      <c r="Y67" s="31"/>
      <c r="Z67" s="31"/>
      <c r="AA67" s="31"/>
      <c r="AB67" s="31"/>
      <c r="AC67" s="31"/>
      <c r="AD67" s="31"/>
      <c r="AT67" s="3"/>
    </row>
    <row r="68" spans="3:46" x14ac:dyDescent="0.25">
      <c r="H68" s="63"/>
      <c r="J68" s="63"/>
      <c r="K68" s="63"/>
      <c r="L68" s="63"/>
      <c r="M68" s="63"/>
      <c r="N68" s="63"/>
      <c r="O68" s="63"/>
      <c r="P68" s="63"/>
      <c r="Q68" s="63"/>
      <c r="R68" s="63"/>
      <c r="S68" s="63"/>
      <c r="T68" s="63"/>
      <c r="U68" s="63"/>
      <c r="V68" s="63"/>
      <c r="W68" s="63"/>
      <c r="X68" s="63"/>
      <c r="Y68" s="63"/>
      <c r="Z68" s="63"/>
      <c r="AA68" s="63"/>
      <c r="AB68" s="63"/>
    </row>
    <row r="69" spans="3:46" x14ac:dyDescent="0.25">
      <c r="E69" s="32" t="s">
        <v>506</v>
      </c>
      <c r="J69" s="63"/>
      <c r="L69" s="63"/>
      <c r="AT69" s="3"/>
    </row>
    <row r="70" spans="3:46" x14ac:dyDescent="0.25">
      <c r="E70" s="32"/>
      <c r="F70" s="23" t="s">
        <v>190</v>
      </c>
      <c r="G70" s="23" t="s">
        <v>282</v>
      </c>
      <c r="H70" s="23"/>
      <c r="I70" s="23"/>
      <c r="J70" s="124">
        <f>'Pseudo-load coefficients'!J272</f>
        <v>11.527986422981362</v>
      </c>
      <c r="K70" s="124">
        <f>'Pseudo-load coefficients'!K272</f>
        <v>11.527986422981362</v>
      </c>
      <c r="L70" s="124">
        <f>'Pseudo-load coefficients'!L272</f>
        <v>13.389814573848861</v>
      </c>
      <c r="M70" s="124">
        <f>'Pseudo-load coefficients'!M272</f>
        <v>13.389814573848861</v>
      </c>
      <c r="N70" s="124">
        <f>'Pseudo-load coefficients'!N272</f>
        <v>10.350692230660494</v>
      </c>
      <c r="O70" s="124">
        <f>'Pseudo-load coefficients'!O272</f>
        <v>8.8540614426759596</v>
      </c>
      <c r="P70" s="124">
        <f>'Pseudo-load coefficients'!P272</f>
        <v>8.9869685862225737</v>
      </c>
      <c r="Q70" s="124">
        <f>'Pseudo-load coefficients'!Q272</f>
        <v>10.350692230660494</v>
      </c>
      <c r="R70" s="124">
        <f>'Pseudo-load coefficients'!R272</f>
        <v>8.8540614426759596</v>
      </c>
      <c r="S70" s="124">
        <f>'Pseudo-load coefficients'!S272</f>
        <v>8.9869685862225737</v>
      </c>
      <c r="T70" s="124">
        <f>'Pseudo-load coefficients'!T272</f>
        <v>25.023867607119033</v>
      </c>
      <c r="U70" s="124">
        <f>'Pseudo-load coefficients'!U272</f>
        <v>8.2437183626517871</v>
      </c>
      <c r="V70" s="124">
        <f>'Pseudo-load coefficients'!V272</f>
        <v>8.2437183626517871</v>
      </c>
      <c r="W70" s="124">
        <f>'Pseudo-load coefficients'!W272</f>
        <v>8.2437183626517871</v>
      </c>
      <c r="X70" s="124">
        <f>'Pseudo-load coefficients'!X272</f>
        <v>8.2437183626517871</v>
      </c>
      <c r="Y70" s="124">
        <f>'Pseudo-load coefficients'!Y272</f>
        <v>8.2437183626517871</v>
      </c>
      <c r="Z70" s="124">
        <f>'Pseudo-load coefficients'!Z272</f>
        <v>8.2437183626517871</v>
      </c>
      <c r="AA70" s="124">
        <f>'Pseudo-load coefficients'!AA272</f>
        <v>8.2437183626517871</v>
      </c>
      <c r="AB70" s="124">
        <f>'Pseudo-load coefficients'!AB272</f>
        <v>8.2437183626517871</v>
      </c>
      <c r="AT70" s="3"/>
    </row>
    <row r="71" spans="3:46" x14ac:dyDescent="0.25">
      <c r="E71" s="32"/>
      <c r="F71" t="s">
        <v>191</v>
      </c>
      <c r="G71" t="s">
        <v>282</v>
      </c>
      <c r="J71" s="120">
        <f>'Pseudo-load coefficients'!J273</f>
        <v>0</v>
      </c>
      <c r="K71" s="120">
        <f>'Pseudo-load coefficients'!K273</f>
        <v>0</v>
      </c>
      <c r="L71" s="120">
        <f>'Pseudo-load coefficients'!L273</f>
        <v>0</v>
      </c>
      <c r="M71" s="120">
        <f>'Pseudo-load coefficients'!M273</f>
        <v>0</v>
      </c>
      <c r="N71" s="120">
        <f>'Pseudo-load coefficients'!N273</f>
        <v>0</v>
      </c>
      <c r="O71" s="120">
        <f>'Pseudo-load coefficients'!O273</f>
        <v>0</v>
      </c>
      <c r="P71" s="120">
        <f>'Pseudo-load coefficients'!P273</f>
        <v>0</v>
      </c>
      <c r="Q71" s="120">
        <f>'Pseudo-load coefficients'!Q273</f>
        <v>0</v>
      </c>
      <c r="R71" s="120">
        <f>'Pseudo-load coefficients'!R273</f>
        <v>0</v>
      </c>
      <c r="S71" s="120">
        <f>'Pseudo-load coefficients'!S273</f>
        <v>0</v>
      </c>
      <c r="T71" s="120">
        <f>'Pseudo-load coefficients'!T273</f>
        <v>0</v>
      </c>
      <c r="U71" s="120">
        <f>'Pseudo-load coefficients'!U273</f>
        <v>0</v>
      </c>
      <c r="V71" s="120">
        <f>'Pseudo-load coefficients'!V273</f>
        <v>0</v>
      </c>
      <c r="W71" s="120">
        <f>'Pseudo-load coefficients'!W273</f>
        <v>0</v>
      </c>
      <c r="X71" s="120">
        <f>'Pseudo-load coefficients'!X273</f>
        <v>0</v>
      </c>
      <c r="Y71" s="120">
        <f>'Pseudo-load coefficients'!Y273</f>
        <v>0</v>
      </c>
      <c r="Z71" s="120">
        <f>'Pseudo-load coefficients'!Z273</f>
        <v>0</v>
      </c>
      <c r="AA71" s="120">
        <f>'Pseudo-load coefficients'!AA273</f>
        <v>0</v>
      </c>
      <c r="AB71" s="120">
        <f>'Pseudo-load coefficients'!AB273</f>
        <v>0</v>
      </c>
      <c r="AT71" s="3"/>
    </row>
    <row r="72" spans="3:46" x14ac:dyDescent="0.25">
      <c r="E72" s="32"/>
      <c r="F72" t="s">
        <v>192</v>
      </c>
      <c r="G72" t="s">
        <v>282</v>
      </c>
      <c r="J72" s="120">
        <f>'Pseudo-load coefficients'!J274</f>
        <v>0</v>
      </c>
      <c r="K72" s="120">
        <f>'Pseudo-load coefficients'!K274</f>
        <v>0</v>
      </c>
      <c r="L72" s="120">
        <f>'Pseudo-load coefficients'!L274</f>
        <v>0</v>
      </c>
      <c r="M72" s="120">
        <f>'Pseudo-load coefficients'!M274</f>
        <v>0</v>
      </c>
      <c r="N72" s="120">
        <f>'Pseudo-load coefficients'!N274</f>
        <v>0</v>
      </c>
      <c r="O72" s="120">
        <f>'Pseudo-load coefficients'!O274</f>
        <v>0</v>
      </c>
      <c r="P72" s="120">
        <f>'Pseudo-load coefficients'!P274</f>
        <v>0</v>
      </c>
      <c r="Q72" s="120">
        <f>'Pseudo-load coefficients'!Q274</f>
        <v>0</v>
      </c>
      <c r="R72" s="120">
        <f>'Pseudo-load coefficients'!R274</f>
        <v>0</v>
      </c>
      <c r="S72" s="120">
        <f>'Pseudo-load coefficients'!S274</f>
        <v>0</v>
      </c>
      <c r="T72" s="120">
        <f>'Pseudo-load coefficients'!T274</f>
        <v>0</v>
      </c>
      <c r="U72" s="120">
        <f>'Pseudo-load coefficients'!U274</f>
        <v>0</v>
      </c>
      <c r="V72" s="120">
        <f>'Pseudo-load coefficients'!V274</f>
        <v>0</v>
      </c>
      <c r="W72" s="120">
        <f>'Pseudo-load coefficients'!W274</f>
        <v>0</v>
      </c>
      <c r="X72" s="120">
        <f>'Pseudo-load coefficients'!X274</f>
        <v>0</v>
      </c>
      <c r="Y72" s="120">
        <f>'Pseudo-load coefficients'!Y274</f>
        <v>0</v>
      </c>
      <c r="Z72" s="120">
        <f>'Pseudo-load coefficients'!Z274</f>
        <v>0</v>
      </c>
      <c r="AA72" s="120">
        <f>'Pseudo-load coefficients'!AA274</f>
        <v>0</v>
      </c>
      <c r="AB72" s="120">
        <f>'Pseudo-load coefficients'!AB274</f>
        <v>0</v>
      </c>
      <c r="AT72" s="3"/>
    </row>
    <row r="73" spans="3:46" x14ac:dyDescent="0.25">
      <c r="E73" s="32"/>
      <c r="F73" t="s">
        <v>193</v>
      </c>
      <c r="G73" t="s">
        <v>282</v>
      </c>
      <c r="J73" s="120">
        <f>'Pseudo-load coefficients'!J275</f>
        <v>11.527986422981362</v>
      </c>
      <c r="K73" s="120">
        <f>'Pseudo-load coefficients'!K275</f>
        <v>11.527986422981362</v>
      </c>
      <c r="L73" s="120">
        <f>'Pseudo-load coefficients'!L275</f>
        <v>13.389814573848861</v>
      </c>
      <c r="M73" s="120">
        <f>'Pseudo-load coefficients'!M275</f>
        <v>13.389814573848861</v>
      </c>
      <c r="N73" s="120">
        <f>'Pseudo-load coefficients'!N275</f>
        <v>10.350692230660494</v>
      </c>
      <c r="O73" s="120">
        <f>'Pseudo-load coefficients'!O275</f>
        <v>8.8540614426759596</v>
      </c>
      <c r="P73" s="120">
        <f>'Pseudo-load coefficients'!P275</f>
        <v>8.9869685862225737</v>
      </c>
      <c r="Q73" s="120">
        <f>'Pseudo-load coefficients'!Q275</f>
        <v>10.350692230660494</v>
      </c>
      <c r="R73" s="120">
        <f>'Pseudo-load coefficients'!R275</f>
        <v>8.8540614426759596</v>
      </c>
      <c r="S73" s="120">
        <f>'Pseudo-load coefficients'!S275</f>
        <v>8.9869685862225737</v>
      </c>
      <c r="T73" s="120">
        <f>'Pseudo-load coefficients'!T275</f>
        <v>25.023867607119033</v>
      </c>
      <c r="U73" s="120">
        <f>'Pseudo-load coefficients'!U275</f>
        <v>8.2437183626517871</v>
      </c>
      <c r="V73" s="120">
        <f>'Pseudo-load coefficients'!V275</f>
        <v>8.2437183626517871</v>
      </c>
      <c r="W73" s="120">
        <f>'Pseudo-load coefficients'!W275</f>
        <v>8.2437183626517871</v>
      </c>
      <c r="X73" s="120">
        <f>'Pseudo-load coefficients'!X275</f>
        <v>8.2437183626517871</v>
      </c>
      <c r="Y73" s="120">
        <f>'Pseudo-load coefficients'!Y275</f>
        <v>8.2437183626517871</v>
      </c>
      <c r="Z73" s="120">
        <f>'Pseudo-load coefficients'!Z275</f>
        <v>8.2437183626517871</v>
      </c>
      <c r="AA73" s="120">
        <f>'Pseudo-load coefficients'!AA275</f>
        <v>8.2437183626517871</v>
      </c>
      <c r="AB73" s="120">
        <f>'Pseudo-load coefficients'!AB275</f>
        <v>8.2437183626517871</v>
      </c>
      <c r="AT73" s="3"/>
    </row>
    <row r="74" spans="3:46" x14ac:dyDescent="0.25">
      <c r="E74" s="32"/>
      <c r="F74" t="s">
        <v>194</v>
      </c>
      <c r="G74" t="s">
        <v>282</v>
      </c>
      <c r="J74" s="120">
        <f>'Pseudo-load coefficients'!J276</f>
        <v>10.098712610250859</v>
      </c>
      <c r="K74" s="120">
        <f>'Pseudo-load coefficients'!K276</f>
        <v>10.098712610250859</v>
      </c>
      <c r="L74" s="120">
        <f>'Pseudo-load coefficients'!L276</f>
        <v>11.729705806755948</v>
      </c>
      <c r="M74" s="120">
        <f>'Pseudo-load coefficients'!M276</f>
        <v>11.729705806755948</v>
      </c>
      <c r="N74" s="120">
        <f>'Pseudo-load coefficients'!N276</f>
        <v>9.0673828298596799</v>
      </c>
      <c r="O74" s="120">
        <f>'Pseudo-load coefficients'!O276</f>
        <v>7.7563087483202686</v>
      </c>
      <c r="P74" s="120">
        <f>'Pseudo-load coefficients'!P276</f>
        <v>7.8727376715753232</v>
      </c>
      <c r="Q74" s="120">
        <f>'Pseudo-load coefficients'!Q276</f>
        <v>9.0673828298596799</v>
      </c>
      <c r="R74" s="120">
        <f>'Pseudo-load coefficients'!R276</f>
        <v>7.7563087483202686</v>
      </c>
      <c r="S74" s="120">
        <f>'Pseudo-load coefficients'!S276</f>
        <v>7.8727376715753232</v>
      </c>
      <c r="T74" s="120">
        <f>'Pseudo-load coefficients'!T276</f>
        <v>22.581879332920355</v>
      </c>
      <c r="U74" s="120">
        <f>'Pseudo-load coefficients'!U276</f>
        <v>7.2216378064347033</v>
      </c>
      <c r="V74" s="120">
        <f>'Pseudo-load coefficients'!V276</f>
        <v>7.2216378064347033</v>
      </c>
      <c r="W74" s="120">
        <f>'Pseudo-load coefficients'!W276</f>
        <v>7.2216378064347033</v>
      </c>
      <c r="X74" s="120">
        <f>'Pseudo-load coefficients'!X276</f>
        <v>7.2216378064347033</v>
      </c>
      <c r="Y74" s="120">
        <f>'Pseudo-load coefficients'!Y276</f>
        <v>7.2216378064347033</v>
      </c>
      <c r="Z74" s="120">
        <f>'Pseudo-load coefficients'!Z276</f>
        <v>7.2216378064347033</v>
      </c>
      <c r="AA74" s="120">
        <f>'Pseudo-load coefficients'!AA276</f>
        <v>7.2216378064347033</v>
      </c>
      <c r="AB74" s="120">
        <f>'Pseudo-load coefficients'!AB276</f>
        <v>7.2216378064347033</v>
      </c>
      <c r="AT74" s="3"/>
    </row>
    <row r="75" spans="3:46" x14ac:dyDescent="0.25">
      <c r="E75" s="32"/>
      <c r="F75" t="s">
        <v>195</v>
      </c>
      <c r="G75" t="s">
        <v>282</v>
      </c>
      <c r="J75" s="120">
        <f>'Pseudo-load coefficients'!J277</f>
        <v>0</v>
      </c>
      <c r="K75" s="120">
        <f>'Pseudo-load coefficients'!K277</f>
        <v>0</v>
      </c>
      <c r="L75" s="120">
        <f>'Pseudo-load coefficients'!L277</f>
        <v>0</v>
      </c>
      <c r="M75" s="120">
        <f>'Pseudo-load coefficients'!M277</f>
        <v>0</v>
      </c>
      <c r="N75" s="120">
        <f>'Pseudo-load coefficients'!N277</f>
        <v>0</v>
      </c>
      <c r="O75" s="120">
        <f>'Pseudo-load coefficients'!O277</f>
        <v>0</v>
      </c>
      <c r="P75" s="120">
        <f>'Pseudo-load coefficients'!P277</f>
        <v>0</v>
      </c>
      <c r="Q75" s="120">
        <f>'Pseudo-load coefficients'!Q277</f>
        <v>0</v>
      </c>
      <c r="R75" s="120">
        <f>'Pseudo-load coefficients'!R277</f>
        <v>0</v>
      </c>
      <c r="S75" s="120">
        <f>'Pseudo-load coefficients'!S277</f>
        <v>0</v>
      </c>
      <c r="T75" s="120">
        <f>'Pseudo-load coefficients'!T277</f>
        <v>0</v>
      </c>
      <c r="U75" s="120">
        <f>'Pseudo-load coefficients'!U277</f>
        <v>0</v>
      </c>
      <c r="V75" s="120">
        <f>'Pseudo-load coefficients'!V277</f>
        <v>0</v>
      </c>
      <c r="W75" s="120">
        <f>'Pseudo-load coefficients'!W277</f>
        <v>0</v>
      </c>
      <c r="X75" s="120">
        <f>'Pseudo-load coefficients'!X277</f>
        <v>0</v>
      </c>
      <c r="Y75" s="120">
        <f>'Pseudo-load coefficients'!Y277</f>
        <v>0</v>
      </c>
      <c r="Z75" s="120">
        <f>'Pseudo-load coefficients'!Z277</f>
        <v>0</v>
      </c>
      <c r="AA75" s="120">
        <f>'Pseudo-load coefficients'!AA277</f>
        <v>0</v>
      </c>
      <c r="AB75" s="120">
        <f>'Pseudo-load coefficients'!AB277</f>
        <v>0</v>
      </c>
      <c r="AT75" s="3"/>
    </row>
    <row r="76" spans="3:46" x14ac:dyDescent="0.25">
      <c r="E76" s="32"/>
      <c r="F76" t="s">
        <v>196</v>
      </c>
      <c r="G76" t="s">
        <v>282</v>
      </c>
      <c r="J76" s="120">
        <f>'Pseudo-load coefficients'!J278</f>
        <v>10.098712610250859</v>
      </c>
      <c r="K76" s="120">
        <f>'Pseudo-load coefficients'!K278</f>
        <v>10.098712610250859</v>
      </c>
      <c r="L76" s="120">
        <f>'Pseudo-load coefficients'!L278</f>
        <v>11.729705806755948</v>
      </c>
      <c r="M76" s="120">
        <f>'Pseudo-load coefficients'!M278</f>
        <v>11.729705806755948</v>
      </c>
      <c r="N76" s="120">
        <f>'Pseudo-load coefficients'!N278</f>
        <v>9.0673828298596799</v>
      </c>
      <c r="O76" s="120">
        <f>'Pseudo-load coefficients'!O278</f>
        <v>7.7563087483202686</v>
      </c>
      <c r="P76" s="120">
        <f>'Pseudo-load coefficients'!P278</f>
        <v>7.8727376715753232</v>
      </c>
      <c r="Q76" s="120">
        <f>'Pseudo-load coefficients'!Q278</f>
        <v>9.0673828298596799</v>
      </c>
      <c r="R76" s="120">
        <f>'Pseudo-load coefficients'!R278</f>
        <v>7.7563087483202686</v>
      </c>
      <c r="S76" s="120">
        <f>'Pseudo-load coefficients'!S278</f>
        <v>7.8727376715753232</v>
      </c>
      <c r="T76" s="120">
        <f>'Pseudo-load coefficients'!T278</f>
        <v>22.581879332920355</v>
      </c>
      <c r="U76" s="120">
        <f>'Pseudo-load coefficients'!U278</f>
        <v>7.2216378064347033</v>
      </c>
      <c r="V76" s="120">
        <f>'Pseudo-load coefficients'!V278</f>
        <v>7.2216378064347033</v>
      </c>
      <c r="W76" s="120">
        <f>'Pseudo-load coefficients'!W278</f>
        <v>7.2216378064347033</v>
      </c>
      <c r="X76" s="120">
        <f>'Pseudo-load coefficients'!X278</f>
        <v>7.2216378064347033</v>
      </c>
      <c r="Y76" s="120">
        <f>'Pseudo-load coefficients'!Y278</f>
        <v>7.2216378064347033</v>
      </c>
      <c r="Z76" s="120">
        <f>'Pseudo-load coefficients'!Z278</f>
        <v>7.2216378064347033</v>
      </c>
      <c r="AA76" s="120">
        <f>'Pseudo-load coefficients'!AA278</f>
        <v>7.2216378064347033</v>
      </c>
      <c r="AB76" s="120">
        <f>'Pseudo-load coefficients'!AB278</f>
        <v>7.2216378064347033</v>
      </c>
      <c r="AT76" s="3"/>
    </row>
    <row r="77" spans="3:46" x14ac:dyDescent="0.25">
      <c r="E77" s="32"/>
      <c r="F77" t="s">
        <v>197</v>
      </c>
      <c r="G77" t="s">
        <v>282</v>
      </c>
      <c r="J77" s="120">
        <f>'Pseudo-load coefficients'!J279</f>
        <v>10.098712610250859</v>
      </c>
      <c r="K77" s="120">
        <f>'Pseudo-load coefficients'!K279</f>
        <v>10.098712610250859</v>
      </c>
      <c r="L77" s="120">
        <f>'Pseudo-load coefficients'!L279</f>
        <v>11.729705806755948</v>
      </c>
      <c r="M77" s="120">
        <f>'Pseudo-load coefficients'!M279</f>
        <v>11.729705806755948</v>
      </c>
      <c r="N77" s="120">
        <f>'Pseudo-load coefficients'!N279</f>
        <v>9.0673828298596799</v>
      </c>
      <c r="O77" s="120">
        <f>'Pseudo-load coefficients'!O279</f>
        <v>7.7563087483202686</v>
      </c>
      <c r="P77" s="120">
        <f>'Pseudo-load coefficients'!P279</f>
        <v>7.8727376715753232</v>
      </c>
      <c r="Q77" s="120">
        <f>'Pseudo-load coefficients'!Q279</f>
        <v>9.0673828298596799</v>
      </c>
      <c r="R77" s="120">
        <f>'Pseudo-load coefficients'!R279</f>
        <v>7.7563087483202686</v>
      </c>
      <c r="S77" s="120">
        <f>'Pseudo-load coefficients'!S279</f>
        <v>7.8727376715753232</v>
      </c>
      <c r="T77" s="120">
        <f>'Pseudo-load coefficients'!T279</f>
        <v>22.581879332920355</v>
      </c>
      <c r="U77" s="120">
        <f>'Pseudo-load coefficients'!U279</f>
        <v>7.2216378064347033</v>
      </c>
      <c r="V77" s="120">
        <f>'Pseudo-load coefficients'!V279</f>
        <v>7.2216378064347033</v>
      </c>
      <c r="W77" s="120">
        <f>'Pseudo-load coefficients'!W279</f>
        <v>7.2216378064347033</v>
      </c>
      <c r="X77" s="120">
        <f>'Pseudo-load coefficients'!X279</f>
        <v>7.2216378064347033</v>
      </c>
      <c r="Y77" s="120">
        <f>'Pseudo-load coefficients'!Y279</f>
        <v>7.2216378064347033</v>
      </c>
      <c r="Z77" s="120">
        <f>'Pseudo-load coefficients'!Z279</f>
        <v>7.2216378064347033</v>
      </c>
      <c r="AA77" s="120">
        <f>'Pseudo-load coefficients'!AA279</f>
        <v>7.2216378064347033</v>
      </c>
      <c r="AB77" s="120">
        <f>'Pseudo-load coefficients'!AB279</f>
        <v>7.2216378064347033</v>
      </c>
      <c r="AT77" s="3"/>
    </row>
    <row r="78" spans="3:46" x14ac:dyDescent="0.25">
      <c r="E78" s="32"/>
      <c r="F78" s="37" t="s">
        <v>198</v>
      </c>
      <c r="G78" s="37" t="s">
        <v>282</v>
      </c>
      <c r="H78" s="37"/>
      <c r="I78" s="37"/>
      <c r="J78" s="125">
        <f>'Pseudo-load coefficients'!J280</f>
        <v>10.098712610250859</v>
      </c>
      <c r="K78" s="125">
        <f>'Pseudo-load coefficients'!K280</f>
        <v>10.098712610250859</v>
      </c>
      <c r="L78" s="125">
        <f>'Pseudo-load coefficients'!L280</f>
        <v>11.729705806755948</v>
      </c>
      <c r="M78" s="125">
        <f>'Pseudo-load coefficients'!M280</f>
        <v>11.729705806755948</v>
      </c>
      <c r="N78" s="125">
        <f>'Pseudo-load coefficients'!N280</f>
        <v>9.0673828298596799</v>
      </c>
      <c r="O78" s="125">
        <f>'Pseudo-load coefficients'!O280</f>
        <v>7.7563087483202686</v>
      </c>
      <c r="P78" s="125">
        <f>'Pseudo-load coefficients'!P280</f>
        <v>7.8727376715753232</v>
      </c>
      <c r="Q78" s="125">
        <f>'Pseudo-load coefficients'!Q280</f>
        <v>9.0673828298596799</v>
      </c>
      <c r="R78" s="125">
        <f>'Pseudo-load coefficients'!R280</f>
        <v>7.7563087483202686</v>
      </c>
      <c r="S78" s="125">
        <f>'Pseudo-load coefficients'!S280</f>
        <v>7.8727376715753232</v>
      </c>
      <c r="T78" s="125">
        <f>'Pseudo-load coefficients'!T280</f>
        <v>22.581879332920355</v>
      </c>
      <c r="U78" s="125">
        <f>'Pseudo-load coefficients'!U280</f>
        <v>7.2216378064347033</v>
      </c>
      <c r="V78" s="125">
        <f>'Pseudo-load coefficients'!V280</f>
        <v>7.2216378064347033</v>
      </c>
      <c r="W78" s="125">
        <f>'Pseudo-load coefficients'!W280</f>
        <v>7.2216378064347033</v>
      </c>
      <c r="X78" s="125">
        <f>'Pseudo-load coefficients'!X280</f>
        <v>7.2216378064347033</v>
      </c>
      <c r="Y78" s="125">
        <f>'Pseudo-load coefficients'!Y280</f>
        <v>7.2216378064347033</v>
      </c>
      <c r="Z78" s="125">
        <f>'Pseudo-load coefficients'!Z280</f>
        <v>7.2216378064347033</v>
      </c>
      <c r="AA78" s="125">
        <f>'Pseudo-load coefficients'!AA280</f>
        <v>7.2216378064347033</v>
      </c>
      <c r="AB78" s="125">
        <f>'Pseudo-load coefficients'!AB280</f>
        <v>7.2216378064347033</v>
      </c>
      <c r="AT78" s="3"/>
    </row>
    <row r="79" spans="3:46" x14ac:dyDescent="0.25">
      <c r="E79" s="32"/>
      <c r="J79" s="89"/>
      <c r="K79" s="89"/>
      <c r="L79" s="89"/>
      <c r="M79" s="89"/>
      <c r="N79" s="89"/>
      <c r="O79" s="89"/>
      <c r="P79" s="89"/>
      <c r="Q79" s="89"/>
      <c r="R79" s="89"/>
      <c r="S79" s="89"/>
      <c r="T79" s="89"/>
      <c r="U79" s="89"/>
      <c r="V79" s="89"/>
      <c r="W79" s="89"/>
      <c r="X79" s="89"/>
      <c r="Y79" s="89"/>
      <c r="Z79" s="89"/>
      <c r="AA79" s="89"/>
      <c r="AB79" s="89"/>
      <c r="AT79" s="3"/>
    </row>
    <row r="80" spans="3:46" x14ac:dyDescent="0.25">
      <c r="E80" s="32" t="s">
        <v>507</v>
      </c>
      <c r="J80" s="89"/>
      <c r="K80" s="89"/>
      <c r="L80" s="89"/>
      <c r="M80" s="89"/>
      <c r="N80" s="89"/>
      <c r="O80" s="89"/>
      <c r="P80" s="89"/>
      <c r="Q80" s="89"/>
      <c r="R80" s="89"/>
      <c r="S80" s="89"/>
      <c r="T80" s="89"/>
      <c r="U80" s="89"/>
      <c r="V80" s="89"/>
      <c r="W80" s="89"/>
      <c r="X80" s="89"/>
      <c r="Y80" s="89"/>
      <c r="Z80" s="89"/>
      <c r="AA80" s="89"/>
      <c r="AB80" s="89"/>
      <c r="AT80" s="3"/>
    </row>
    <row r="81" spans="5:46" x14ac:dyDescent="0.25">
      <c r="E81" s="29" t="s">
        <v>508</v>
      </c>
      <c r="J81" s="89"/>
      <c r="K81" s="89"/>
      <c r="L81" s="89"/>
      <c r="M81" s="89"/>
      <c r="N81" s="89"/>
      <c r="O81" s="89"/>
      <c r="P81" s="89"/>
      <c r="Q81" s="89"/>
      <c r="R81" s="89"/>
      <c r="S81" s="89"/>
      <c r="T81" s="89"/>
      <c r="U81" s="89"/>
      <c r="V81" s="89"/>
      <c r="W81" s="89"/>
      <c r="X81" s="89"/>
      <c r="Y81" s="89"/>
      <c r="Z81" s="89"/>
      <c r="AA81" s="89"/>
      <c r="AB81" s="89"/>
      <c r="AT81" s="3"/>
    </row>
    <row r="82" spans="5:46" x14ac:dyDescent="0.25">
      <c r="E82" s="32"/>
      <c r="F82" s="23" t="s">
        <v>190</v>
      </c>
      <c r="G82" s="23" t="s">
        <v>171</v>
      </c>
      <c r="H82" s="23"/>
      <c r="I82" s="23"/>
      <c r="J82" s="158">
        <f t="shared" ref="J82:AB82" si="2">J$56 * J34 * J70 / hours_in_year / $H45</f>
        <v>1075.7732805916924</v>
      </c>
      <c r="K82" s="158">
        <f t="shared" si="2"/>
        <v>1.9182619159137628</v>
      </c>
      <c r="L82" s="158">
        <f t="shared" si="2"/>
        <v>317.15660097525762</v>
      </c>
      <c r="M82" s="158">
        <f t="shared" si="2"/>
        <v>7.0023238004838877</v>
      </c>
      <c r="N82" s="158">
        <f t="shared" si="2"/>
        <v>365.95901266206619</v>
      </c>
      <c r="O82" s="158">
        <f t="shared" si="2"/>
        <v>24.280852249846941</v>
      </c>
      <c r="P82" s="158">
        <f t="shared" si="2"/>
        <v>343.47050132428615</v>
      </c>
      <c r="Q82" s="158">
        <f t="shared" ref="Q82:S82" si="3">Q$56 * Q34 * Q70 / hours_in_year / $H45</f>
        <v>0</v>
      </c>
      <c r="R82" s="158">
        <f t="shared" si="3"/>
        <v>0</v>
      </c>
      <c r="S82" s="158">
        <f t="shared" si="3"/>
        <v>0</v>
      </c>
      <c r="T82" s="158">
        <f t="shared" si="2"/>
        <v>43.50077791847508</v>
      </c>
      <c r="U82" s="158">
        <f t="shared" si="2"/>
        <v>-0.14470247447499363</v>
      </c>
      <c r="V82" s="158">
        <f t="shared" si="2"/>
        <v>-2.8271851947799897E-3</v>
      </c>
      <c r="W82" s="158">
        <f t="shared" si="2"/>
        <v>-6.3354827524160724</v>
      </c>
      <c r="X82" s="158">
        <f t="shared" si="2"/>
        <v>0</v>
      </c>
      <c r="Y82" s="158">
        <f t="shared" si="2"/>
        <v>-0.14207914522336507</v>
      </c>
      <c r="Z82" s="158">
        <f t="shared" si="2"/>
        <v>0</v>
      </c>
      <c r="AA82" s="158">
        <f t="shared" si="2"/>
        <v>-112.07484691383036</v>
      </c>
      <c r="AB82" s="158">
        <f t="shared" si="2"/>
        <v>0</v>
      </c>
      <c r="AT82" s="3"/>
    </row>
    <row r="83" spans="5:46" x14ac:dyDescent="0.25">
      <c r="E83" s="32"/>
      <c r="F83" t="s">
        <v>191</v>
      </c>
      <c r="G83" t="s">
        <v>171</v>
      </c>
      <c r="J83" s="89">
        <f t="shared" ref="J83:AB83" si="4">J$56 * J35 * J71 / hours_in_year / $H46</f>
        <v>0</v>
      </c>
      <c r="K83" s="89">
        <f t="shared" si="4"/>
        <v>0</v>
      </c>
      <c r="L83" s="89">
        <f t="shared" si="4"/>
        <v>0</v>
      </c>
      <c r="M83" s="89">
        <f t="shared" si="4"/>
        <v>0</v>
      </c>
      <c r="N83" s="89">
        <f t="shared" si="4"/>
        <v>0</v>
      </c>
      <c r="O83" s="89">
        <f t="shared" si="4"/>
        <v>0</v>
      </c>
      <c r="P83" s="89">
        <f t="shared" si="4"/>
        <v>0</v>
      </c>
      <c r="Q83" s="89">
        <f t="shared" ref="Q83:S83" si="5">Q$56 * Q35 * Q71 / hours_in_year / $H46</f>
        <v>0</v>
      </c>
      <c r="R83" s="89">
        <f t="shared" si="5"/>
        <v>0</v>
      </c>
      <c r="S83" s="89">
        <f t="shared" si="5"/>
        <v>0</v>
      </c>
      <c r="T83" s="89">
        <f t="shared" si="4"/>
        <v>0</v>
      </c>
      <c r="U83" s="89">
        <f t="shared" si="4"/>
        <v>0</v>
      </c>
      <c r="V83" s="89">
        <f t="shared" si="4"/>
        <v>0</v>
      </c>
      <c r="W83" s="89">
        <f t="shared" si="4"/>
        <v>0</v>
      </c>
      <c r="X83" s="89">
        <f t="shared" si="4"/>
        <v>0</v>
      </c>
      <c r="Y83" s="89">
        <f t="shared" si="4"/>
        <v>0</v>
      </c>
      <c r="Z83" s="89">
        <f t="shared" si="4"/>
        <v>0</v>
      </c>
      <c r="AA83" s="89">
        <f t="shared" si="4"/>
        <v>0</v>
      </c>
      <c r="AB83" s="89">
        <f t="shared" si="4"/>
        <v>0</v>
      </c>
      <c r="AT83" s="3"/>
    </row>
    <row r="84" spans="5:46" x14ac:dyDescent="0.25">
      <c r="E84" s="32"/>
      <c r="F84" t="s">
        <v>192</v>
      </c>
      <c r="G84" t="s">
        <v>171</v>
      </c>
      <c r="J84" s="89">
        <f t="shared" ref="J84:AB84" si="6">J$56 * J36 * J72 / hours_in_year / $H47</f>
        <v>0</v>
      </c>
      <c r="K84" s="89">
        <f t="shared" si="6"/>
        <v>0</v>
      </c>
      <c r="L84" s="89">
        <f t="shared" si="6"/>
        <v>0</v>
      </c>
      <c r="M84" s="89">
        <f t="shared" si="6"/>
        <v>0</v>
      </c>
      <c r="N84" s="89">
        <f t="shared" si="6"/>
        <v>0</v>
      </c>
      <c r="O84" s="89">
        <f t="shared" si="6"/>
        <v>0</v>
      </c>
      <c r="P84" s="89">
        <f t="shared" si="6"/>
        <v>0</v>
      </c>
      <c r="Q84" s="89">
        <f t="shared" ref="Q84:S84" si="7">Q$56 * Q36 * Q72 / hours_in_year / $H47</f>
        <v>0</v>
      </c>
      <c r="R84" s="89">
        <f t="shared" si="7"/>
        <v>0</v>
      </c>
      <c r="S84" s="89">
        <f t="shared" si="7"/>
        <v>0</v>
      </c>
      <c r="T84" s="89">
        <f t="shared" si="6"/>
        <v>0</v>
      </c>
      <c r="U84" s="89">
        <f t="shared" si="6"/>
        <v>0</v>
      </c>
      <c r="V84" s="89">
        <f t="shared" si="6"/>
        <v>0</v>
      </c>
      <c r="W84" s="89">
        <f t="shared" si="6"/>
        <v>0</v>
      </c>
      <c r="X84" s="89">
        <f t="shared" si="6"/>
        <v>0</v>
      </c>
      <c r="Y84" s="89">
        <f t="shared" si="6"/>
        <v>0</v>
      </c>
      <c r="Z84" s="89">
        <f t="shared" si="6"/>
        <v>0</v>
      </c>
      <c r="AA84" s="89">
        <f t="shared" si="6"/>
        <v>0</v>
      </c>
      <c r="AB84" s="89">
        <f t="shared" si="6"/>
        <v>0</v>
      </c>
      <c r="AT84" s="3"/>
    </row>
    <row r="85" spans="5:46" x14ac:dyDescent="0.25">
      <c r="E85" s="32"/>
      <c r="F85" t="s">
        <v>193</v>
      </c>
      <c r="G85" t="s">
        <v>171</v>
      </c>
      <c r="J85" s="89">
        <f t="shared" ref="J85:AB85" si="8">J$56 * J37 * J73 / hours_in_year / $H48</f>
        <v>1071.4873312666259</v>
      </c>
      <c r="K85" s="89">
        <f t="shared" si="8"/>
        <v>1.9106194381611183</v>
      </c>
      <c r="L85" s="89">
        <f t="shared" si="8"/>
        <v>315.89302885981834</v>
      </c>
      <c r="M85" s="89">
        <f t="shared" si="8"/>
        <v>6.9744260960994895</v>
      </c>
      <c r="N85" s="89">
        <f t="shared" si="8"/>
        <v>364.50100862755596</v>
      </c>
      <c r="O85" s="89">
        <f t="shared" si="8"/>
        <v>24.18411578670014</v>
      </c>
      <c r="P85" s="89">
        <f t="shared" si="8"/>
        <v>342.10209295247626</v>
      </c>
      <c r="Q85" s="89">
        <f t="shared" ref="Q85:S85" si="9">Q$56 * Q37 * Q73 / hours_in_year / $H48</f>
        <v>0</v>
      </c>
      <c r="R85" s="89">
        <f t="shared" si="9"/>
        <v>0</v>
      </c>
      <c r="S85" s="89">
        <f t="shared" si="9"/>
        <v>0</v>
      </c>
      <c r="T85" s="89">
        <f t="shared" si="8"/>
        <v>43.327468046289923</v>
      </c>
      <c r="U85" s="89">
        <f t="shared" si="8"/>
        <v>-0.14412597059262314</v>
      </c>
      <c r="V85" s="89">
        <f t="shared" si="8"/>
        <v>-2.8159215087450095E-3</v>
      </c>
      <c r="W85" s="89">
        <f t="shared" si="8"/>
        <v>-6.3102417852749726</v>
      </c>
      <c r="X85" s="89">
        <f t="shared" si="8"/>
        <v>0</v>
      </c>
      <c r="Y85" s="89">
        <f t="shared" si="8"/>
        <v>-0.14151309285195723</v>
      </c>
      <c r="Z85" s="89">
        <f t="shared" si="8"/>
        <v>0</v>
      </c>
      <c r="AA85" s="89">
        <f t="shared" si="8"/>
        <v>-111.6283335795123</v>
      </c>
      <c r="AB85" s="89">
        <f t="shared" si="8"/>
        <v>0</v>
      </c>
      <c r="AT85" s="3"/>
    </row>
    <row r="86" spans="5:46" x14ac:dyDescent="0.25">
      <c r="E86" s="32"/>
      <c r="F86" t="s">
        <v>194</v>
      </c>
      <c r="G86" t="s">
        <v>171</v>
      </c>
      <c r="J86" s="89">
        <f t="shared" ref="J86:AB86" si="10">J$56 * J38 * J74 / hours_in_year / $H49</f>
        <v>930.30180771129608</v>
      </c>
      <c r="K86" s="89">
        <f t="shared" si="10"/>
        <v>1.658864893034683</v>
      </c>
      <c r="L86" s="89">
        <f t="shared" si="10"/>
        <v>274.26909046539015</v>
      </c>
      <c r="M86" s="89">
        <f t="shared" si="10"/>
        <v>6.0554343627005114</v>
      </c>
      <c r="N86" s="89">
        <f t="shared" si="10"/>
        <v>316.47219462497441</v>
      </c>
      <c r="O86" s="89">
        <f t="shared" si="10"/>
        <v>20.997473304393147</v>
      </c>
      <c r="P86" s="89">
        <f t="shared" si="10"/>
        <v>297.02469288114435</v>
      </c>
      <c r="Q86" s="89">
        <f t="shared" ref="Q86:S86" si="11">Q$56 * Q38 * Q74 / hours_in_year / $H49</f>
        <v>0</v>
      </c>
      <c r="R86" s="89">
        <f t="shared" si="11"/>
        <v>0</v>
      </c>
      <c r="S86" s="89">
        <f t="shared" si="11"/>
        <v>0</v>
      </c>
      <c r="T86" s="89">
        <f t="shared" si="10"/>
        <v>38.751920171156669</v>
      </c>
      <c r="U86" s="89">
        <f t="shared" si="10"/>
        <v>-0.12513507819263067</v>
      </c>
      <c r="V86" s="89">
        <f t="shared" si="10"/>
        <v>-2.4448789953137899E-3</v>
      </c>
      <c r="W86" s="89">
        <f t="shared" si="10"/>
        <v>-5.4787669145813567</v>
      </c>
      <c r="X86" s="89">
        <f t="shared" si="10"/>
        <v>0</v>
      </c>
      <c r="Y86" s="89">
        <f t="shared" si="10"/>
        <v>-0.1228664887146789</v>
      </c>
      <c r="Z86" s="89">
        <f t="shared" si="10"/>
        <v>0</v>
      </c>
      <c r="AA86" s="89">
        <f t="shared" si="10"/>
        <v>-96.91952250901474</v>
      </c>
      <c r="AB86" s="89">
        <f t="shared" si="10"/>
        <v>0</v>
      </c>
      <c r="AT86" s="3"/>
    </row>
    <row r="87" spans="5:46" x14ac:dyDescent="0.25">
      <c r="E87" s="32"/>
      <c r="F87" t="s">
        <v>195</v>
      </c>
      <c r="G87" t="s">
        <v>171</v>
      </c>
      <c r="J87" s="89">
        <f t="shared" ref="J87:AB87" si="12">J$56 * J39 * J75 / hours_in_year / $H50</f>
        <v>0</v>
      </c>
      <c r="K87" s="89">
        <f t="shared" si="12"/>
        <v>0</v>
      </c>
      <c r="L87" s="89">
        <f t="shared" si="12"/>
        <v>0</v>
      </c>
      <c r="M87" s="89">
        <f t="shared" si="12"/>
        <v>0</v>
      </c>
      <c r="N87" s="89">
        <f t="shared" si="12"/>
        <v>0</v>
      </c>
      <c r="O87" s="89">
        <f t="shared" si="12"/>
        <v>0</v>
      </c>
      <c r="P87" s="89">
        <f t="shared" si="12"/>
        <v>0</v>
      </c>
      <c r="Q87" s="89">
        <f t="shared" ref="Q87:S87" si="13">Q$56 * Q39 * Q75 / hours_in_year / $H50</f>
        <v>0</v>
      </c>
      <c r="R87" s="89">
        <f t="shared" si="13"/>
        <v>0</v>
      </c>
      <c r="S87" s="89">
        <f t="shared" si="13"/>
        <v>0</v>
      </c>
      <c r="T87" s="89">
        <f t="shared" si="12"/>
        <v>0</v>
      </c>
      <c r="U87" s="89">
        <f t="shared" si="12"/>
        <v>0</v>
      </c>
      <c r="V87" s="89">
        <f t="shared" si="12"/>
        <v>0</v>
      </c>
      <c r="W87" s="89">
        <f t="shared" si="12"/>
        <v>0</v>
      </c>
      <c r="X87" s="89">
        <f t="shared" si="12"/>
        <v>0</v>
      </c>
      <c r="Y87" s="89">
        <f t="shared" si="12"/>
        <v>0</v>
      </c>
      <c r="Z87" s="89">
        <f t="shared" si="12"/>
        <v>0</v>
      </c>
      <c r="AA87" s="89">
        <f t="shared" si="12"/>
        <v>0</v>
      </c>
      <c r="AB87" s="89">
        <f t="shared" si="12"/>
        <v>0</v>
      </c>
      <c r="AT87" s="3"/>
    </row>
    <row r="88" spans="5:46" x14ac:dyDescent="0.25">
      <c r="E88" s="32"/>
      <c r="F88" t="s">
        <v>196</v>
      </c>
      <c r="G88" t="s">
        <v>171</v>
      </c>
      <c r="J88" s="89">
        <f t="shared" ref="J88:AB88" si="14">J$56 * J40 * J76 / hours_in_year / $H51</f>
        <v>918.51435790598714</v>
      </c>
      <c r="K88" s="89">
        <f t="shared" si="14"/>
        <v>1.6378461370800523</v>
      </c>
      <c r="L88" s="89">
        <f t="shared" si="14"/>
        <v>270.79394604428865</v>
      </c>
      <c r="M88" s="89">
        <f t="shared" si="14"/>
        <v>5.978708586175066</v>
      </c>
      <c r="N88" s="89">
        <f>N$56 * N40 * N76 / hours_in_year / $H51</f>
        <v>312.46231301666575</v>
      </c>
      <c r="O88" s="89">
        <f t="shared" si="14"/>
        <v>20.731423447709798</v>
      </c>
      <c r="P88" s="89">
        <f t="shared" si="14"/>
        <v>293.26122211364441</v>
      </c>
      <c r="Q88" s="89">
        <f>Q$56 * Q40 * Q76 / hours_in_year / $H51</f>
        <v>0</v>
      </c>
      <c r="R88" s="89">
        <f t="shared" ref="R88:S88" si="15">R$56 * R40 * R76 / hours_in_year / $H51</f>
        <v>0</v>
      </c>
      <c r="S88" s="89">
        <f t="shared" si="15"/>
        <v>0</v>
      </c>
      <c r="T88" s="89">
        <f t="shared" si="14"/>
        <v>38.260911436044537</v>
      </c>
      <c r="U88" s="89">
        <f t="shared" si="14"/>
        <v>-0.12354954601280201</v>
      </c>
      <c r="V88" s="89">
        <f t="shared" si="14"/>
        <v>-2.4139009963478255E-3</v>
      </c>
      <c r="W88" s="89">
        <f t="shared" si="14"/>
        <v>-5.4093478406149256</v>
      </c>
      <c r="X88" s="89">
        <f t="shared" si="14"/>
        <v>0</v>
      </c>
      <c r="Y88" s="89">
        <f t="shared" si="14"/>
        <v>-0.12130970084597437</v>
      </c>
      <c r="Z88" s="89">
        <f t="shared" si="14"/>
        <v>0</v>
      </c>
      <c r="AA88" s="89">
        <f t="shared" si="14"/>
        <v>0</v>
      </c>
      <c r="AB88" s="89">
        <f t="shared" si="14"/>
        <v>0</v>
      </c>
      <c r="AT88" s="3"/>
    </row>
    <row r="89" spans="5:46" x14ac:dyDescent="0.25">
      <c r="E89" s="32"/>
      <c r="F89" t="s">
        <v>197</v>
      </c>
      <c r="G89" t="s">
        <v>171</v>
      </c>
      <c r="J89" s="89">
        <f t="shared" ref="J89:AB89" si="16">J$56 * J41 * J77 / hours_in_year / $H52</f>
        <v>902.67790345933224</v>
      </c>
      <c r="K89" s="89">
        <f t="shared" si="16"/>
        <v>1.609607410578672</v>
      </c>
      <c r="L89" s="89">
        <f t="shared" si="16"/>
        <v>266.12508490559401</v>
      </c>
      <c r="M89" s="89">
        <f t="shared" si="16"/>
        <v>5.8756274036548062</v>
      </c>
      <c r="N89" s="89">
        <f t="shared" si="16"/>
        <v>307.0750317577577</v>
      </c>
      <c r="O89" s="89">
        <f t="shared" si="16"/>
        <v>20.373985112404458</v>
      </c>
      <c r="P89" s="89">
        <f t="shared" si="16"/>
        <v>0</v>
      </c>
      <c r="Q89" s="89">
        <f t="shared" ref="Q89:S89" si="17">Q$56 * Q41 * Q77 / hours_in_year / $H52</f>
        <v>0</v>
      </c>
      <c r="R89" s="89">
        <f t="shared" si="17"/>
        <v>0</v>
      </c>
      <c r="S89" s="89">
        <f t="shared" si="17"/>
        <v>0</v>
      </c>
      <c r="T89" s="89">
        <f t="shared" si="16"/>
        <v>37.601240549216186</v>
      </c>
      <c r="U89" s="89">
        <f t="shared" si="16"/>
        <v>-0.12141938142637439</v>
      </c>
      <c r="V89" s="89">
        <f t="shared" si="16"/>
        <v>0</v>
      </c>
      <c r="W89" s="89">
        <f t="shared" si="16"/>
        <v>-5.3160832226732886</v>
      </c>
      <c r="X89" s="89">
        <f t="shared" si="16"/>
        <v>0</v>
      </c>
      <c r="Y89" s="89">
        <f t="shared" si="16"/>
        <v>0</v>
      </c>
      <c r="Z89" s="89">
        <f t="shared" si="16"/>
        <v>0</v>
      </c>
      <c r="AA89" s="89">
        <f t="shared" si="16"/>
        <v>0</v>
      </c>
      <c r="AB89" s="89">
        <f t="shared" si="16"/>
        <v>0</v>
      </c>
      <c r="AT89" s="3"/>
    </row>
    <row r="90" spans="5:46" x14ac:dyDescent="0.25">
      <c r="E90" s="32"/>
      <c r="F90" s="37" t="s">
        <v>198</v>
      </c>
      <c r="G90" s="37" t="s">
        <v>171</v>
      </c>
      <c r="H90" s="37"/>
      <c r="I90" s="37"/>
      <c r="J90" s="82">
        <f t="shared" ref="J90:AB90" si="18">J$56 * J42 * J78 / hours_in_year / $H53</f>
        <v>858.28390820723382</v>
      </c>
      <c r="K90" s="82">
        <f t="shared" si="18"/>
        <v>1.5304463903862782</v>
      </c>
      <c r="L90" s="82">
        <f t="shared" si="18"/>
        <v>253.03696597581072</v>
      </c>
      <c r="M90" s="82">
        <f t="shared" si="18"/>
        <v>5.5866621215078478</v>
      </c>
      <c r="N90" s="82">
        <f t="shared" si="18"/>
        <v>291.97298101557288</v>
      </c>
      <c r="O90" s="82">
        <f t="shared" si="18"/>
        <v>0</v>
      </c>
      <c r="P90" s="82">
        <f t="shared" si="18"/>
        <v>0</v>
      </c>
      <c r="Q90" s="82">
        <f t="shared" ref="Q90:S90" si="19">Q$56 * Q42 * Q78 / hours_in_year / $H53</f>
        <v>0</v>
      </c>
      <c r="R90" s="82">
        <f t="shared" si="19"/>
        <v>0</v>
      </c>
      <c r="S90" s="82">
        <f t="shared" si="19"/>
        <v>0</v>
      </c>
      <c r="T90" s="82">
        <f t="shared" si="18"/>
        <v>35.751999210730141</v>
      </c>
      <c r="U90" s="82">
        <f t="shared" si="18"/>
        <v>0</v>
      </c>
      <c r="V90" s="82">
        <f t="shared" si="18"/>
        <v>0</v>
      </c>
      <c r="W90" s="82">
        <f t="shared" si="18"/>
        <v>0</v>
      </c>
      <c r="X90" s="82">
        <f t="shared" si="18"/>
        <v>0</v>
      </c>
      <c r="Y90" s="82">
        <f t="shared" si="18"/>
        <v>0</v>
      </c>
      <c r="Z90" s="82">
        <f t="shared" si="18"/>
        <v>0</v>
      </c>
      <c r="AA90" s="82">
        <f t="shared" si="18"/>
        <v>0</v>
      </c>
      <c r="AB90" s="82">
        <f t="shared" si="18"/>
        <v>0</v>
      </c>
      <c r="AT90" s="3"/>
    </row>
    <row r="91" spans="5:46" x14ac:dyDescent="0.25">
      <c r="E91" s="32"/>
      <c r="J91" s="89"/>
      <c r="K91" s="89"/>
      <c r="L91" s="89"/>
      <c r="M91" s="89"/>
      <c r="N91" s="89"/>
      <c r="O91" s="89"/>
      <c r="P91" s="89"/>
      <c r="Q91" s="89"/>
      <c r="R91" s="89"/>
      <c r="S91" s="89"/>
      <c r="T91" s="89"/>
      <c r="U91" s="89"/>
      <c r="V91" s="89"/>
      <c r="W91" s="89"/>
      <c r="X91" s="89"/>
      <c r="Y91" s="89"/>
      <c r="Z91" s="89"/>
      <c r="AA91" s="89"/>
      <c r="AB91" s="89"/>
      <c r="AT91" s="3"/>
    </row>
    <row r="92" spans="5:46" x14ac:dyDescent="0.25">
      <c r="E92" s="32" t="s">
        <v>509</v>
      </c>
      <c r="J92" s="89"/>
      <c r="K92" s="89"/>
      <c r="L92" s="89"/>
      <c r="M92" s="89"/>
      <c r="N92" s="89"/>
      <c r="O92" s="89"/>
      <c r="P92" s="89"/>
      <c r="Q92" s="89"/>
      <c r="R92" s="89"/>
      <c r="S92" s="89"/>
      <c r="T92" s="89"/>
      <c r="U92" s="89"/>
      <c r="V92" s="89"/>
      <c r="W92" s="89"/>
      <c r="X92" s="89"/>
      <c r="Y92" s="89"/>
      <c r="Z92" s="89"/>
      <c r="AA92" s="89"/>
      <c r="AB92" s="89"/>
      <c r="AT92" s="3"/>
    </row>
    <row r="93" spans="5:46" x14ac:dyDescent="0.25">
      <c r="E93" s="32"/>
      <c r="F93" s="23" t="s">
        <v>190</v>
      </c>
      <c r="G93" s="23" t="s">
        <v>282</v>
      </c>
      <c r="H93" s="23"/>
      <c r="I93" s="23"/>
      <c r="J93" s="124">
        <f>'Pseudo-load coefficients'!J283</f>
        <v>0.92349228307239573</v>
      </c>
      <c r="K93" s="124">
        <f>'Pseudo-load coefficients'!K283</f>
        <v>0.92349228307239573</v>
      </c>
      <c r="L93" s="124">
        <f>'Pseudo-load coefficients'!L283</f>
        <v>1.0726409606164153</v>
      </c>
      <c r="M93" s="124">
        <f>'Pseudo-load coefficients'!M283</f>
        <v>1.0726409606164153</v>
      </c>
      <c r="N93" s="124">
        <f>'Pseudo-load coefficients'!N283</f>
        <v>0.82918074750822601</v>
      </c>
      <c r="O93" s="124">
        <f>'Pseudo-load coefficients'!O283</f>
        <v>0.70928756472680232</v>
      </c>
      <c r="P93" s="124">
        <f>'Pseudo-load coefficients'!P283</f>
        <v>0.71993458641185648</v>
      </c>
      <c r="Q93" s="124">
        <f>'Pseudo-load coefficients'!Q283</f>
        <v>0.82918074750822601</v>
      </c>
      <c r="R93" s="124">
        <f>'Pseudo-load coefficients'!R283</f>
        <v>0.70928756472680232</v>
      </c>
      <c r="S93" s="124">
        <f>'Pseudo-load coefficients'!S283</f>
        <v>0.71993458641185648</v>
      </c>
      <c r="T93" s="124">
        <f>'Pseudo-load coefficients'!T283</f>
        <v>0.79110253955261312</v>
      </c>
      <c r="U93" s="124">
        <f>'Pseudo-load coefficients'!U283</f>
        <v>0.66039375936064448</v>
      </c>
      <c r="V93" s="124">
        <f>'Pseudo-load coefficients'!V283</f>
        <v>0.66039375936064448</v>
      </c>
      <c r="W93" s="124">
        <f>'Pseudo-load coefficients'!W283</f>
        <v>0.66039375936064448</v>
      </c>
      <c r="X93" s="124">
        <f>'Pseudo-load coefficients'!X283</f>
        <v>0.66039375936064448</v>
      </c>
      <c r="Y93" s="124">
        <f>'Pseudo-load coefficients'!Y283</f>
        <v>0.66039375936064448</v>
      </c>
      <c r="Z93" s="124">
        <f>'Pseudo-load coefficients'!Z283</f>
        <v>0.66039375936064448</v>
      </c>
      <c r="AA93" s="124">
        <f>'Pseudo-load coefficients'!AA283</f>
        <v>0.66039375936064448</v>
      </c>
      <c r="AB93" s="124">
        <f>'Pseudo-load coefficients'!AB283</f>
        <v>0.66039375936064448</v>
      </c>
      <c r="AT93" s="3"/>
    </row>
    <row r="94" spans="5:46" x14ac:dyDescent="0.25">
      <c r="E94" s="32"/>
      <c r="F94" t="s">
        <v>191</v>
      </c>
      <c r="G94" t="s">
        <v>282</v>
      </c>
      <c r="J94" s="120">
        <f>'Pseudo-load coefficients'!J284</f>
        <v>0</v>
      </c>
      <c r="K94" s="120">
        <f>'Pseudo-load coefficients'!K284</f>
        <v>0</v>
      </c>
      <c r="L94" s="120">
        <f>'Pseudo-load coefficients'!L284</f>
        <v>0</v>
      </c>
      <c r="M94" s="120">
        <f>'Pseudo-load coefficients'!M284</f>
        <v>0</v>
      </c>
      <c r="N94" s="120">
        <f>'Pseudo-load coefficients'!N284</f>
        <v>0</v>
      </c>
      <c r="O94" s="120">
        <f>'Pseudo-load coefficients'!O284</f>
        <v>0</v>
      </c>
      <c r="P94" s="120">
        <f>'Pseudo-load coefficients'!P284</f>
        <v>0</v>
      </c>
      <c r="Q94" s="120">
        <f>'Pseudo-load coefficients'!Q284</f>
        <v>0</v>
      </c>
      <c r="R94" s="120">
        <f>'Pseudo-load coefficients'!R284</f>
        <v>0</v>
      </c>
      <c r="S94" s="120">
        <f>'Pseudo-load coefficients'!S284</f>
        <v>0</v>
      </c>
      <c r="T94" s="120">
        <f>'Pseudo-load coefficients'!T284</f>
        <v>0</v>
      </c>
      <c r="U94" s="120">
        <f>'Pseudo-load coefficients'!U284</f>
        <v>0</v>
      </c>
      <c r="V94" s="120">
        <f>'Pseudo-load coefficients'!V284</f>
        <v>0</v>
      </c>
      <c r="W94" s="120">
        <f>'Pseudo-load coefficients'!W284</f>
        <v>0</v>
      </c>
      <c r="X94" s="120">
        <f>'Pseudo-load coefficients'!X284</f>
        <v>0</v>
      </c>
      <c r="Y94" s="120">
        <f>'Pseudo-load coefficients'!Y284</f>
        <v>0</v>
      </c>
      <c r="Z94" s="120">
        <f>'Pseudo-load coefficients'!Z284</f>
        <v>0</v>
      </c>
      <c r="AA94" s="120">
        <f>'Pseudo-load coefficients'!AA284</f>
        <v>0</v>
      </c>
      <c r="AB94" s="120">
        <f>'Pseudo-load coefficients'!AB284</f>
        <v>0</v>
      </c>
      <c r="AT94" s="3"/>
    </row>
    <row r="95" spans="5:46" x14ac:dyDescent="0.25">
      <c r="E95" s="32"/>
      <c r="F95" t="s">
        <v>192</v>
      </c>
      <c r="G95" t="s">
        <v>282</v>
      </c>
      <c r="J95" s="120">
        <f>'Pseudo-load coefficients'!J285</f>
        <v>0</v>
      </c>
      <c r="K95" s="120">
        <f>'Pseudo-load coefficients'!K285</f>
        <v>0</v>
      </c>
      <c r="L95" s="120">
        <f>'Pseudo-load coefficients'!L285</f>
        <v>0</v>
      </c>
      <c r="M95" s="120">
        <f>'Pseudo-load coefficients'!M285</f>
        <v>0</v>
      </c>
      <c r="N95" s="120">
        <f>'Pseudo-load coefficients'!N285</f>
        <v>0</v>
      </c>
      <c r="O95" s="120">
        <f>'Pseudo-load coefficients'!O285</f>
        <v>0</v>
      </c>
      <c r="P95" s="120">
        <f>'Pseudo-load coefficients'!P285</f>
        <v>0</v>
      </c>
      <c r="Q95" s="120">
        <f>'Pseudo-load coefficients'!Q285</f>
        <v>0</v>
      </c>
      <c r="R95" s="120">
        <f>'Pseudo-load coefficients'!R285</f>
        <v>0</v>
      </c>
      <c r="S95" s="120">
        <f>'Pseudo-load coefficients'!S285</f>
        <v>0</v>
      </c>
      <c r="T95" s="120">
        <f>'Pseudo-load coefficients'!T285</f>
        <v>0</v>
      </c>
      <c r="U95" s="120">
        <f>'Pseudo-load coefficients'!U285</f>
        <v>0</v>
      </c>
      <c r="V95" s="120">
        <f>'Pseudo-load coefficients'!V285</f>
        <v>0</v>
      </c>
      <c r="W95" s="120">
        <f>'Pseudo-load coefficients'!W285</f>
        <v>0</v>
      </c>
      <c r="X95" s="120">
        <f>'Pseudo-load coefficients'!X285</f>
        <v>0</v>
      </c>
      <c r="Y95" s="120">
        <f>'Pseudo-load coefficients'!Y285</f>
        <v>0</v>
      </c>
      <c r="Z95" s="120">
        <f>'Pseudo-load coefficients'!Z285</f>
        <v>0</v>
      </c>
      <c r="AA95" s="120">
        <f>'Pseudo-load coefficients'!AA285</f>
        <v>0</v>
      </c>
      <c r="AB95" s="120">
        <f>'Pseudo-load coefficients'!AB285</f>
        <v>0</v>
      </c>
      <c r="AT95" s="3"/>
    </row>
    <row r="96" spans="5:46" x14ac:dyDescent="0.25">
      <c r="E96" s="32"/>
      <c r="F96" t="s">
        <v>193</v>
      </c>
      <c r="G96" t="s">
        <v>282</v>
      </c>
      <c r="J96" s="120">
        <f>'Pseudo-load coefficients'!J286</f>
        <v>0.92349228307239573</v>
      </c>
      <c r="K96" s="120">
        <f>'Pseudo-load coefficients'!K286</f>
        <v>0.92349228307239573</v>
      </c>
      <c r="L96" s="120">
        <f>'Pseudo-load coefficients'!L286</f>
        <v>1.0726409606164153</v>
      </c>
      <c r="M96" s="120">
        <f>'Pseudo-load coefficients'!M286</f>
        <v>1.0726409606164153</v>
      </c>
      <c r="N96" s="120">
        <f>'Pseudo-load coefficients'!N286</f>
        <v>0.82918074750822601</v>
      </c>
      <c r="O96" s="120">
        <f>'Pseudo-load coefficients'!O286</f>
        <v>0.70928756472680232</v>
      </c>
      <c r="P96" s="120">
        <f>'Pseudo-load coefficients'!P286</f>
        <v>0.71993458641185648</v>
      </c>
      <c r="Q96" s="120">
        <f>'Pseudo-load coefficients'!Q286</f>
        <v>0.82918074750822601</v>
      </c>
      <c r="R96" s="120">
        <f>'Pseudo-load coefficients'!R286</f>
        <v>0.70928756472680232</v>
      </c>
      <c r="S96" s="120">
        <f>'Pseudo-load coefficients'!S286</f>
        <v>0.71993458641185648</v>
      </c>
      <c r="T96" s="120">
        <f>'Pseudo-load coefficients'!T286</f>
        <v>0.79110253955261312</v>
      </c>
      <c r="U96" s="120">
        <f>'Pseudo-load coefficients'!U286</f>
        <v>0.66039375936064448</v>
      </c>
      <c r="V96" s="120">
        <f>'Pseudo-load coefficients'!V286</f>
        <v>0.66039375936064448</v>
      </c>
      <c r="W96" s="120">
        <f>'Pseudo-load coefficients'!W286</f>
        <v>0.66039375936064448</v>
      </c>
      <c r="X96" s="120">
        <f>'Pseudo-load coefficients'!X286</f>
        <v>0.66039375936064448</v>
      </c>
      <c r="Y96" s="120">
        <f>'Pseudo-load coefficients'!Y286</f>
        <v>0.66039375936064448</v>
      </c>
      <c r="Z96" s="120">
        <f>'Pseudo-load coefficients'!Z286</f>
        <v>0.66039375936064448</v>
      </c>
      <c r="AA96" s="120">
        <f>'Pseudo-load coefficients'!AA286</f>
        <v>0.66039375936064448</v>
      </c>
      <c r="AB96" s="120">
        <f>'Pseudo-load coefficients'!AB286</f>
        <v>0.66039375936064448</v>
      </c>
      <c r="AT96" s="3"/>
    </row>
    <row r="97" spans="5:46" x14ac:dyDescent="0.25">
      <c r="E97" s="32"/>
      <c r="F97" t="s">
        <v>194</v>
      </c>
      <c r="G97" t="s">
        <v>282</v>
      </c>
      <c r="J97" s="120">
        <f>'Pseudo-load coefficients'!J287</f>
        <v>1.2155817714261268</v>
      </c>
      <c r="K97" s="120">
        <f>'Pseudo-load coefficients'!K287</f>
        <v>1.2155817714261268</v>
      </c>
      <c r="L97" s="120">
        <f>'Pseudo-load coefficients'!L287</f>
        <v>1.4119043796147333</v>
      </c>
      <c r="M97" s="120">
        <f>'Pseudo-load coefficients'!M287</f>
        <v>1.4119043796147333</v>
      </c>
      <c r="N97" s="120">
        <f>'Pseudo-load coefficients'!N287</f>
        <v>1.0914406328715081</v>
      </c>
      <c r="O97" s="120">
        <f>'Pseudo-load coefficients'!O287</f>
        <v>0.93362668014145112</v>
      </c>
      <c r="P97" s="120">
        <f>'Pseudo-load coefficients'!P287</f>
        <v>0.94764122657303829</v>
      </c>
      <c r="Q97" s="120">
        <f>'Pseudo-load coefficients'!Q287</f>
        <v>1.0914406328715081</v>
      </c>
      <c r="R97" s="120">
        <f>'Pseudo-load coefficients'!R287</f>
        <v>0.93362668014145112</v>
      </c>
      <c r="S97" s="120">
        <f>'Pseudo-load coefficients'!S287</f>
        <v>0.94764122657303829</v>
      </c>
      <c r="T97" s="120">
        <f>'Pseudo-load coefficients'!T287</f>
        <v>0.92680435825893326</v>
      </c>
      <c r="U97" s="120">
        <f>'Pseudo-load coefficients'!U287</f>
        <v>0.86926835292184057</v>
      </c>
      <c r="V97" s="120">
        <f>'Pseudo-load coefficients'!V287</f>
        <v>0.86926835292184057</v>
      </c>
      <c r="W97" s="120">
        <f>'Pseudo-load coefficients'!W287</f>
        <v>0.86926835292184057</v>
      </c>
      <c r="X97" s="120">
        <f>'Pseudo-load coefficients'!X287</f>
        <v>0.86926835292184057</v>
      </c>
      <c r="Y97" s="120">
        <f>'Pseudo-load coefficients'!Y287</f>
        <v>0.86926835292184057</v>
      </c>
      <c r="Z97" s="120">
        <f>'Pseudo-load coefficients'!Z287</f>
        <v>0.86926835292184057</v>
      </c>
      <c r="AA97" s="120">
        <f>'Pseudo-load coefficients'!AA287</f>
        <v>0.86926835292184057</v>
      </c>
      <c r="AB97" s="120">
        <f>'Pseudo-load coefficients'!AB287</f>
        <v>0.86926835292184057</v>
      </c>
      <c r="AT97" s="3"/>
    </row>
    <row r="98" spans="5:46" x14ac:dyDescent="0.25">
      <c r="E98" s="32"/>
      <c r="F98" t="s">
        <v>195</v>
      </c>
      <c r="G98" t="s">
        <v>282</v>
      </c>
      <c r="J98" s="120">
        <f>'Pseudo-load coefficients'!J288</f>
        <v>0</v>
      </c>
      <c r="K98" s="120">
        <f>'Pseudo-load coefficients'!K288</f>
        <v>0</v>
      </c>
      <c r="L98" s="120">
        <f>'Pseudo-load coefficients'!L288</f>
        <v>0</v>
      </c>
      <c r="M98" s="120">
        <f>'Pseudo-load coefficients'!M288</f>
        <v>0</v>
      </c>
      <c r="N98" s="120">
        <f>'Pseudo-load coefficients'!N288</f>
        <v>0</v>
      </c>
      <c r="O98" s="120">
        <f>'Pseudo-load coefficients'!O288</f>
        <v>0</v>
      </c>
      <c r="P98" s="120">
        <f>'Pseudo-load coefficients'!P288</f>
        <v>0</v>
      </c>
      <c r="Q98" s="120">
        <f>'Pseudo-load coefficients'!Q288</f>
        <v>0</v>
      </c>
      <c r="R98" s="120">
        <f>'Pseudo-load coefficients'!R288</f>
        <v>0</v>
      </c>
      <c r="S98" s="120">
        <f>'Pseudo-load coefficients'!S288</f>
        <v>0</v>
      </c>
      <c r="T98" s="120">
        <f>'Pseudo-load coefficients'!T288</f>
        <v>0</v>
      </c>
      <c r="U98" s="120">
        <f>'Pseudo-load coefficients'!U288</f>
        <v>0</v>
      </c>
      <c r="V98" s="120">
        <f>'Pseudo-load coefficients'!V288</f>
        <v>0</v>
      </c>
      <c r="W98" s="120">
        <f>'Pseudo-load coefficients'!W288</f>
        <v>0</v>
      </c>
      <c r="X98" s="120">
        <f>'Pseudo-load coefficients'!X288</f>
        <v>0</v>
      </c>
      <c r="Y98" s="120">
        <f>'Pseudo-load coefficients'!Y288</f>
        <v>0</v>
      </c>
      <c r="Z98" s="120">
        <f>'Pseudo-load coefficients'!Z288</f>
        <v>0</v>
      </c>
      <c r="AA98" s="120">
        <f>'Pseudo-load coefficients'!AA288</f>
        <v>0</v>
      </c>
      <c r="AB98" s="120">
        <f>'Pseudo-load coefficients'!AB288</f>
        <v>0</v>
      </c>
      <c r="AT98" s="3"/>
    </row>
    <row r="99" spans="5:46" x14ac:dyDescent="0.25">
      <c r="E99" s="32"/>
      <c r="F99" t="s">
        <v>196</v>
      </c>
      <c r="G99" t="s">
        <v>282</v>
      </c>
      <c r="J99" s="120">
        <f>'Pseudo-load coefficients'!J289</f>
        <v>1.2155817714261268</v>
      </c>
      <c r="K99" s="120">
        <f>'Pseudo-load coefficients'!K289</f>
        <v>1.2155817714261268</v>
      </c>
      <c r="L99" s="120">
        <f>'Pseudo-load coefficients'!L289</f>
        <v>1.4119043796147333</v>
      </c>
      <c r="M99" s="120">
        <f>'Pseudo-load coefficients'!M289</f>
        <v>1.4119043796147333</v>
      </c>
      <c r="N99" s="120">
        <f>'Pseudo-load coefficients'!N289</f>
        <v>1.0914406328715081</v>
      </c>
      <c r="O99" s="120">
        <f>'Pseudo-load coefficients'!O289</f>
        <v>0.93362668014145112</v>
      </c>
      <c r="P99" s="120">
        <f>'Pseudo-load coefficients'!P289</f>
        <v>0.94764122657303829</v>
      </c>
      <c r="Q99" s="120">
        <f>'Pseudo-load coefficients'!Q289</f>
        <v>1.0914406328715081</v>
      </c>
      <c r="R99" s="120">
        <f>'Pseudo-load coefficients'!R289</f>
        <v>0.93362668014145112</v>
      </c>
      <c r="S99" s="120">
        <f>'Pseudo-load coefficients'!S289</f>
        <v>0.94764122657303829</v>
      </c>
      <c r="T99" s="120">
        <f>'Pseudo-load coefficients'!T289</f>
        <v>0.92680435825893326</v>
      </c>
      <c r="U99" s="120">
        <f>'Pseudo-load coefficients'!U289</f>
        <v>0.86926835292184057</v>
      </c>
      <c r="V99" s="120">
        <f>'Pseudo-load coefficients'!V289</f>
        <v>0.86926835292184057</v>
      </c>
      <c r="W99" s="120">
        <f>'Pseudo-load coefficients'!W289</f>
        <v>0.86926835292184057</v>
      </c>
      <c r="X99" s="120">
        <f>'Pseudo-load coefficients'!X289</f>
        <v>0.86926835292184057</v>
      </c>
      <c r="Y99" s="120">
        <f>'Pseudo-load coefficients'!Y289</f>
        <v>0.86926835292184057</v>
      </c>
      <c r="Z99" s="120">
        <f>'Pseudo-load coefficients'!Z289</f>
        <v>0.86926835292184057</v>
      </c>
      <c r="AA99" s="120">
        <f>'Pseudo-load coefficients'!AA289</f>
        <v>0.86926835292184057</v>
      </c>
      <c r="AB99" s="120">
        <f>'Pseudo-load coefficients'!AB289</f>
        <v>0.86926835292184057</v>
      </c>
      <c r="AT99" s="3"/>
    </row>
    <row r="100" spans="5:46" x14ac:dyDescent="0.25">
      <c r="E100" s="32"/>
      <c r="F100" t="s">
        <v>197</v>
      </c>
      <c r="G100" t="s">
        <v>282</v>
      </c>
      <c r="J100" s="120">
        <f>'Pseudo-load coefficients'!J290</f>
        <v>1.2155817714261268</v>
      </c>
      <c r="K100" s="120">
        <f>'Pseudo-load coefficients'!K290</f>
        <v>1.2155817714261268</v>
      </c>
      <c r="L100" s="120">
        <f>'Pseudo-load coefficients'!L290</f>
        <v>1.4119043796147333</v>
      </c>
      <c r="M100" s="120">
        <f>'Pseudo-load coefficients'!M290</f>
        <v>1.4119043796147333</v>
      </c>
      <c r="N100" s="120">
        <f>'Pseudo-load coefficients'!N290</f>
        <v>1.0914406328715081</v>
      </c>
      <c r="O100" s="120">
        <f>'Pseudo-load coefficients'!O290</f>
        <v>0.93362668014145112</v>
      </c>
      <c r="P100" s="120">
        <f>'Pseudo-load coefficients'!P290</f>
        <v>0.94764122657303829</v>
      </c>
      <c r="Q100" s="120">
        <f>'Pseudo-load coefficients'!Q290</f>
        <v>1.0914406328715081</v>
      </c>
      <c r="R100" s="120">
        <f>'Pseudo-load coefficients'!R290</f>
        <v>0.93362668014145112</v>
      </c>
      <c r="S100" s="120">
        <f>'Pseudo-load coefficients'!S290</f>
        <v>0.94764122657303829</v>
      </c>
      <c r="T100" s="120">
        <f>'Pseudo-load coefficients'!T290</f>
        <v>0.92680435825893326</v>
      </c>
      <c r="U100" s="120">
        <f>'Pseudo-load coefficients'!U290</f>
        <v>0.86926835292184057</v>
      </c>
      <c r="V100" s="120">
        <f>'Pseudo-load coefficients'!V290</f>
        <v>0.86926835292184057</v>
      </c>
      <c r="W100" s="120">
        <f>'Pseudo-load coefficients'!W290</f>
        <v>0.86926835292184057</v>
      </c>
      <c r="X100" s="120">
        <f>'Pseudo-load coefficients'!X290</f>
        <v>0.86926835292184057</v>
      </c>
      <c r="Y100" s="120">
        <f>'Pseudo-load coefficients'!Y290</f>
        <v>0.86926835292184057</v>
      </c>
      <c r="Z100" s="120">
        <f>'Pseudo-load coefficients'!Z290</f>
        <v>0.86926835292184057</v>
      </c>
      <c r="AA100" s="120">
        <f>'Pseudo-load coefficients'!AA290</f>
        <v>0.86926835292184057</v>
      </c>
      <c r="AB100" s="120">
        <f>'Pseudo-load coefficients'!AB290</f>
        <v>0.86926835292184057</v>
      </c>
      <c r="AT100" s="3"/>
    </row>
    <row r="101" spans="5:46" x14ac:dyDescent="0.25">
      <c r="E101" s="32"/>
      <c r="F101" s="37" t="s">
        <v>198</v>
      </c>
      <c r="G101" s="37" t="s">
        <v>282</v>
      </c>
      <c r="H101" s="37"/>
      <c r="I101" s="37"/>
      <c r="J101" s="125">
        <f>'Pseudo-load coefficients'!J291</f>
        <v>1.2155817714261268</v>
      </c>
      <c r="K101" s="125">
        <f>'Pseudo-load coefficients'!K291</f>
        <v>1.2155817714261268</v>
      </c>
      <c r="L101" s="125">
        <f>'Pseudo-load coefficients'!L291</f>
        <v>1.4119043796147333</v>
      </c>
      <c r="M101" s="125">
        <f>'Pseudo-load coefficients'!M291</f>
        <v>1.4119043796147333</v>
      </c>
      <c r="N101" s="125">
        <f>'Pseudo-load coefficients'!N291</f>
        <v>1.0914406328715081</v>
      </c>
      <c r="O101" s="125">
        <f>'Pseudo-load coefficients'!O291</f>
        <v>0.93362668014145112</v>
      </c>
      <c r="P101" s="125">
        <f>'Pseudo-load coefficients'!P291</f>
        <v>0.94764122657303829</v>
      </c>
      <c r="Q101" s="125">
        <f>'Pseudo-load coefficients'!Q291</f>
        <v>1.0914406328715081</v>
      </c>
      <c r="R101" s="125">
        <f>'Pseudo-load coefficients'!R291</f>
        <v>0.93362668014145112</v>
      </c>
      <c r="S101" s="125">
        <f>'Pseudo-load coefficients'!S291</f>
        <v>0.94764122657303829</v>
      </c>
      <c r="T101" s="125">
        <f>'Pseudo-load coefficients'!T291</f>
        <v>0.92680435825893326</v>
      </c>
      <c r="U101" s="125">
        <f>'Pseudo-load coefficients'!U291</f>
        <v>0.86926835292184057</v>
      </c>
      <c r="V101" s="125">
        <f>'Pseudo-load coefficients'!V291</f>
        <v>0.86926835292184057</v>
      </c>
      <c r="W101" s="125">
        <f>'Pseudo-load coefficients'!W291</f>
        <v>0.86926835292184057</v>
      </c>
      <c r="X101" s="125">
        <f>'Pseudo-load coefficients'!X291</f>
        <v>0.86926835292184057</v>
      </c>
      <c r="Y101" s="125">
        <f>'Pseudo-load coefficients'!Y291</f>
        <v>0.86926835292184057</v>
      </c>
      <c r="Z101" s="125">
        <f>'Pseudo-load coefficients'!Z291</f>
        <v>0.86926835292184057</v>
      </c>
      <c r="AA101" s="125">
        <f>'Pseudo-load coefficients'!AA291</f>
        <v>0.86926835292184057</v>
      </c>
      <c r="AB101" s="125">
        <f>'Pseudo-load coefficients'!AB291</f>
        <v>0.86926835292184057</v>
      </c>
      <c r="AT101" s="3"/>
    </row>
    <row r="102" spans="5:46" x14ac:dyDescent="0.25">
      <c r="E102" s="32"/>
      <c r="J102" s="89"/>
      <c r="K102" s="89"/>
      <c r="L102" s="89"/>
      <c r="M102" s="89"/>
      <c r="N102" s="89"/>
      <c r="O102" s="89"/>
      <c r="P102" s="89"/>
      <c r="Q102" s="89"/>
      <c r="R102" s="89"/>
      <c r="S102" s="89"/>
      <c r="T102" s="89"/>
      <c r="U102" s="89"/>
      <c r="V102" s="89"/>
      <c r="W102" s="89"/>
      <c r="X102" s="89"/>
      <c r="Y102" s="89"/>
      <c r="Z102" s="89"/>
      <c r="AA102" s="89"/>
      <c r="AB102" s="89"/>
      <c r="AT102" s="3"/>
    </row>
    <row r="103" spans="5:46" x14ac:dyDescent="0.25">
      <c r="E103" s="32" t="s">
        <v>510</v>
      </c>
      <c r="J103" s="89"/>
      <c r="K103" s="89"/>
      <c r="L103" s="89"/>
      <c r="M103" s="89"/>
      <c r="N103" s="89"/>
      <c r="O103" s="89"/>
      <c r="P103" s="89"/>
      <c r="Q103" s="89"/>
      <c r="R103" s="89"/>
      <c r="S103" s="89"/>
      <c r="T103" s="89"/>
      <c r="U103" s="89"/>
      <c r="V103" s="89"/>
      <c r="W103" s="89"/>
      <c r="X103" s="89"/>
      <c r="Y103" s="89"/>
      <c r="Z103" s="89"/>
      <c r="AA103" s="89"/>
      <c r="AB103" s="89"/>
      <c r="AT103" s="3"/>
    </row>
    <row r="104" spans="5:46" x14ac:dyDescent="0.25">
      <c r="E104" s="29" t="s">
        <v>511</v>
      </c>
      <c r="J104" s="89"/>
      <c r="K104" s="89"/>
      <c r="L104" s="89"/>
      <c r="M104" s="89"/>
      <c r="N104" s="89"/>
      <c r="O104" s="89"/>
      <c r="P104" s="89"/>
      <c r="Q104" s="89"/>
      <c r="R104" s="89"/>
      <c r="S104" s="89"/>
      <c r="T104" s="89"/>
      <c r="U104" s="89"/>
      <c r="V104" s="89"/>
      <c r="W104" s="89"/>
      <c r="X104" s="89"/>
      <c r="Y104" s="89"/>
      <c r="Z104" s="89"/>
      <c r="AA104" s="89"/>
      <c r="AB104" s="89"/>
      <c r="AT104" s="3"/>
    </row>
    <row r="105" spans="5:46" x14ac:dyDescent="0.25">
      <c r="E105" s="32"/>
      <c r="F105" s="23" t="s">
        <v>190</v>
      </c>
      <c r="G105" s="23" t="s">
        <v>171</v>
      </c>
      <c r="H105" s="23"/>
      <c r="I105" s="23"/>
      <c r="J105" s="158">
        <f t="shared" ref="J105:AB105" si="20">J$57 * J34 * J93 / hours_in_year / $H45</f>
        <v>306.17748082883958</v>
      </c>
      <c r="K105" s="158">
        <f t="shared" si="20"/>
        <v>2.7821268514883548</v>
      </c>
      <c r="L105" s="158">
        <f t="shared" si="20"/>
        <v>137.62367495924715</v>
      </c>
      <c r="M105" s="158">
        <f t="shared" si="20"/>
        <v>3.4041311729516619</v>
      </c>
      <c r="N105" s="158">
        <f t="shared" si="20"/>
        <v>140.32073507451798</v>
      </c>
      <c r="O105" s="158">
        <f t="shared" si="20"/>
        <v>9.087253273494607</v>
      </c>
      <c r="P105" s="158">
        <f t="shared" si="20"/>
        <v>127.69033410494212</v>
      </c>
      <c r="Q105" s="158">
        <f t="shared" ref="Q105:S105" si="21">Q$57 * Q34 * Q93 / hours_in_year / $H45</f>
        <v>0</v>
      </c>
      <c r="R105" s="158">
        <f t="shared" si="21"/>
        <v>0</v>
      </c>
      <c r="S105" s="158">
        <f t="shared" si="21"/>
        <v>0</v>
      </c>
      <c r="T105" s="158">
        <f t="shared" si="20"/>
        <v>5.2437523066193616</v>
      </c>
      <c r="U105" s="158">
        <f t="shared" si="20"/>
        <v>-5.2033833242253968E-2</v>
      </c>
      <c r="V105" s="158">
        <f t="shared" si="20"/>
        <v>-9.3327867121054239E-4</v>
      </c>
      <c r="W105" s="158">
        <f t="shared" si="20"/>
        <v>-2.2784301605614874</v>
      </c>
      <c r="X105" s="158">
        <f t="shared" si="20"/>
        <v>0</v>
      </c>
      <c r="Y105" s="158">
        <f t="shared" si="20"/>
        <v>-4.7013939498834312E-2</v>
      </c>
      <c r="Z105" s="158">
        <f t="shared" si="20"/>
        <v>0</v>
      </c>
      <c r="AA105" s="158">
        <f t="shared" si="20"/>
        <v>-34.436063919540167</v>
      </c>
      <c r="AB105" s="158">
        <f t="shared" si="20"/>
        <v>0</v>
      </c>
      <c r="AT105" s="3"/>
    </row>
    <row r="106" spans="5:46" x14ac:dyDescent="0.25">
      <c r="E106" s="32"/>
      <c r="F106" t="s">
        <v>191</v>
      </c>
      <c r="G106" t="s">
        <v>171</v>
      </c>
      <c r="J106" s="89">
        <f t="shared" ref="J106:AB106" si="22">J$57 * J35 * J94 / hours_in_year / $H46</f>
        <v>0</v>
      </c>
      <c r="K106" s="89">
        <f t="shared" si="22"/>
        <v>0</v>
      </c>
      <c r="L106" s="89">
        <f t="shared" si="22"/>
        <v>0</v>
      </c>
      <c r="M106" s="89">
        <f t="shared" si="22"/>
        <v>0</v>
      </c>
      <c r="N106" s="89">
        <f t="shared" si="22"/>
        <v>0</v>
      </c>
      <c r="O106" s="89">
        <f t="shared" si="22"/>
        <v>0</v>
      </c>
      <c r="P106" s="89">
        <f t="shared" si="22"/>
        <v>0</v>
      </c>
      <c r="Q106" s="89">
        <f t="shared" ref="Q106:S106" si="23">Q$57 * Q35 * Q94 / hours_in_year / $H46</f>
        <v>0</v>
      </c>
      <c r="R106" s="89">
        <f t="shared" si="23"/>
        <v>0</v>
      </c>
      <c r="S106" s="89">
        <f t="shared" si="23"/>
        <v>0</v>
      </c>
      <c r="T106" s="89">
        <f t="shared" si="22"/>
        <v>0</v>
      </c>
      <c r="U106" s="89">
        <f t="shared" si="22"/>
        <v>0</v>
      </c>
      <c r="V106" s="89">
        <f t="shared" si="22"/>
        <v>0</v>
      </c>
      <c r="W106" s="89">
        <f t="shared" si="22"/>
        <v>0</v>
      </c>
      <c r="X106" s="89">
        <f t="shared" si="22"/>
        <v>0</v>
      </c>
      <c r="Y106" s="89">
        <f t="shared" si="22"/>
        <v>0</v>
      </c>
      <c r="Z106" s="89">
        <f t="shared" si="22"/>
        <v>0</v>
      </c>
      <c r="AA106" s="89">
        <f t="shared" si="22"/>
        <v>0</v>
      </c>
      <c r="AB106" s="89">
        <f t="shared" si="22"/>
        <v>0</v>
      </c>
      <c r="AT106" s="3"/>
    </row>
    <row r="107" spans="5:46" x14ac:dyDescent="0.25">
      <c r="E107" s="32"/>
      <c r="F107" t="s">
        <v>192</v>
      </c>
      <c r="G107" t="s">
        <v>171</v>
      </c>
      <c r="J107" s="89">
        <f t="shared" ref="J107:AB107" si="24">J$57 * J36 * J95 / hours_in_year / $H47</f>
        <v>0</v>
      </c>
      <c r="K107" s="89">
        <f t="shared" si="24"/>
        <v>0</v>
      </c>
      <c r="L107" s="89">
        <f t="shared" si="24"/>
        <v>0</v>
      </c>
      <c r="M107" s="89">
        <f t="shared" si="24"/>
        <v>0</v>
      </c>
      <c r="N107" s="89">
        <f t="shared" si="24"/>
        <v>0</v>
      </c>
      <c r="O107" s="89">
        <f t="shared" si="24"/>
        <v>0</v>
      </c>
      <c r="P107" s="89">
        <f t="shared" si="24"/>
        <v>0</v>
      </c>
      <c r="Q107" s="89">
        <f t="shared" ref="Q107:S107" si="25">Q$57 * Q36 * Q95 / hours_in_year / $H47</f>
        <v>0</v>
      </c>
      <c r="R107" s="89">
        <f t="shared" si="25"/>
        <v>0</v>
      </c>
      <c r="S107" s="89">
        <f t="shared" si="25"/>
        <v>0</v>
      </c>
      <c r="T107" s="89">
        <f t="shared" si="24"/>
        <v>0</v>
      </c>
      <c r="U107" s="89">
        <f t="shared" si="24"/>
        <v>0</v>
      </c>
      <c r="V107" s="89">
        <f t="shared" si="24"/>
        <v>0</v>
      </c>
      <c r="W107" s="89">
        <f t="shared" si="24"/>
        <v>0</v>
      </c>
      <c r="X107" s="89">
        <f t="shared" si="24"/>
        <v>0</v>
      </c>
      <c r="Y107" s="89">
        <f t="shared" si="24"/>
        <v>0</v>
      </c>
      <c r="Z107" s="89">
        <f t="shared" si="24"/>
        <v>0</v>
      </c>
      <c r="AA107" s="89">
        <f t="shared" si="24"/>
        <v>0</v>
      </c>
      <c r="AB107" s="89">
        <f t="shared" si="24"/>
        <v>0</v>
      </c>
      <c r="AT107" s="3"/>
    </row>
    <row r="108" spans="5:46" x14ac:dyDescent="0.25">
      <c r="E108" s="32"/>
      <c r="F108" t="s">
        <v>193</v>
      </c>
      <c r="G108" t="s">
        <v>171</v>
      </c>
      <c r="J108" s="89">
        <f t="shared" ref="J108:AB108" si="26">J$57 * J37 * J96 / hours_in_year / $H48</f>
        <v>304.95765022792784</v>
      </c>
      <c r="K108" s="89">
        <f t="shared" si="26"/>
        <v>2.7710426807652935</v>
      </c>
      <c r="L108" s="89">
        <f t="shared" si="26"/>
        <v>137.07537346538561</v>
      </c>
      <c r="M108" s="89">
        <f t="shared" si="26"/>
        <v>3.390568897362213</v>
      </c>
      <c r="N108" s="89">
        <f t="shared" si="26"/>
        <v>139.76168832123304</v>
      </c>
      <c r="O108" s="89">
        <f t="shared" si="26"/>
        <v>9.0510490771858638</v>
      </c>
      <c r="P108" s="89">
        <f t="shared" si="26"/>
        <v>127.18160767424514</v>
      </c>
      <c r="Q108" s="89">
        <f t="shared" ref="Q108:S108" si="27">Q$57 * Q37 * Q96 / hours_in_year / $H48</f>
        <v>0</v>
      </c>
      <c r="R108" s="89">
        <f t="shared" si="27"/>
        <v>0</v>
      </c>
      <c r="S108" s="89">
        <f t="shared" si="27"/>
        <v>0</v>
      </c>
      <c r="T108" s="89">
        <f t="shared" si="26"/>
        <v>5.2228608631666953</v>
      </c>
      <c r="U108" s="89">
        <f t="shared" si="26"/>
        <v>-5.1826527133719089E-2</v>
      </c>
      <c r="V108" s="89">
        <f t="shared" si="26"/>
        <v>-9.2956042949257211E-4</v>
      </c>
      <c r="W108" s="89">
        <f t="shared" si="26"/>
        <v>-2.2693527495632346</v>
      </c>
      <c r="X108" s="89">
        <f t="shared" si="26"/>
        <v>0</v>
      </c>
      <c r="Y108" s="89">
        <f t="shared" si="26"/>
        <v>-4.6826632966966444E-2</v>
      </c>
      <c r="Z108" s="89">
        <f t="shared" si="26"/>
        <v>0</v>
      </c>
      <c r="AA108" s="89">
        <f t="shared" si="26"/>
        <v>-34.298868445757137</v>
      </c>
      <c r="AB108" s="89">
        <f t="shared" si="26"/>
        <v>0</v>
      </c>
      <c r="AT108" s="3"/>
    </row>
    <row r="109" spans="5:46" x14ac:dyDescent="0.25">
      <c r="E109" s="32"/>
      <c r="F109" t="s">
        <v>194</v>
      </c>
      <c r="G109" t="s">
        <v>171</v>
      </c>
      <c r="J109" s="89">
        <f t="shared" ref="J109:AB109" si="28">J$57 * J38 * J97 / hours_in_year / $H49</f>
        <v>397.84573642310295</v>
      </c>
      <c r="K109" s="89">
        <f t="shared" si="28"/>
        <v>3.6150839802344334</v>
      </c>
      <c r="L109" s="89">
        <f t="shared" si="28"/>
        <v>178.8276269214706</v>
      </c>
      <c r="M109" s="89">
        <f t="shared" si="28"/>
        <v>4.4233137908038751</v>
      </c>
      <c r="N109" s="89">
        <f t="shared" si="28"/>
        <v>182.33217554089418</v>
      </c>
      <c r="O109" s="89">
        <f t="shared" si="28"/>
        <v>11.80793884929038</v>
      </c>
      <c r="P109" s="89">
        <f t="shared" si="28"/>
        <v>165.92028541279871</v>
      </c>
      <c r="Q109" s="89">
        <f t="shared" ref="Q109:S109" si="29">Q$57 * Q38 * Q97 / hours_in_year / $H49</f>
        <v>0</v>
      </c>
      <c r="R109" s="89">
        <f t="shared" si="29"/>
        <v>0</v>
      </c>
      <c r="S109" s="89">
        <f t="shared" si="29"/>
        <v>0</v>
      </c>
      <c r="T109" s="89">
        <f t="shared" si="28"/>
        <v>6.0644024225641084</v>
      </c>
      <c r="U109" s="89">
        <f t="shared" si="28"/>
        <v>-6.7612545015203321E-2</v>
      </c>
      <c r="V109" s="89">
        <f t="shared" si="28"/>
        <v>-1.2126983971211757E-3</v>
      </c>
      <c r="W109" s="89">
        <f t="shared" si="28"/>
        <v>-2.9605826093524117</v>
      </c>
      <c r="X109" s="89">
        <f t="shared" si="28"/>
        <v>0</v>
      </c>
      <c r="Y109" s="89">
        <f t="shared" si="28"/>
        <v>-6.1089716106590766E-2</v>
      </c>
      <c r="Z109" s="89">
        <f t="shared" si="28"/>
        <v>0</v>
      </c>
      <c r="AA109" s="89">
        <f t="shared" si="28"/>
        <v>-44.746077250669067</v>
      </c>
      <c r="AB109" s="89">
        <f t="shared" si="28"/>
        <v>0</v>
      </c>
      <c r="AT109" s="3"/>
    </row>
    <row r="110" spans="5:46" x14ac:dyDescent="0.25">
      <c r="E110" s="32"/>
      <c r="F110" t="s">
        <v>195</v>
      </c>
      <c r="G110" t="s">
        <v>171</v>
      </c>
      <c r="J110" s="89">
        <f t="shared" ref="J110:AB110" si="30">J$57 * J39 * J98 / hours_in_year / $H50</f>
        <v>0</v>
      </c>
      <c r="K110" s="89">
        <f t="shared" si="30"/>
        <v>0</v>
      </c>
      <c r="L110" s="89">
        <f t="shared" si="30"/>
        <v>0</v>
      </c>
      <c r="M110" s="89">
        <f t="shared" si="30"/>
        <v>0</v>
      </c>
      <c r="N110" s="89">
        <f t="shared" si="30"/>
        <v>0</v>
      </c>
      <c r="O110" s="89">
        <f t="shared" si="30"/>
        <v>0</v>
      </c>
      <c r="P110" s="89">
        <f t="shared" si="30"/>
        <v>0</v>
      </c>
      <c r="Q110" s="89">
        <f t="shared" ref="Q110:S110" si="31">Q$57 * Q39 * Q98 / hours_in_year / $H50</f>
        <v>0</v>
      </c>
      <c r="R110" s="89">
        <f t="shared" si="31"/>
        <v>0</v>
      </c>
      <c r="S110" s="89">
        <f t="shared" si="31"/>
        <v>0</v>
      </c>
      <c r="T110" s="89">
        <f t="shared" si="30"/>
        <v>0</v>
      </c>
      <c r="U110" s="89">
        <f t="shared" si="30"/>
        <v>0</v>
      </c>
      <c r="V110" s="89">
        <f t="shared" si="30"/>
        <v>0</v>
      </c>
      <c r="W110" s="89">
        <f t="shared" si="30"/>
        <v>0</v>
      </c>
      <c r="X110" s="89">
        <f t="shared" si="30"/>
        <v>0</v>
      </c>
      <c r="Y110" s="89">
        <f t="shared" si="30"/>
        <v>0</v>
      </c>
      <c r="Z110" s="89">
        <f t="shared" si="30"/>
        <v>0</v>
      </c>
      <c r="AA110" s="89">
        <f t="shared" si="30"/>
        <v>0</v>
      </c>
      <c r="AB110" s="89">
        <f t="shared" si="30"/>
        <v>0</v>
      </c>
      <c r="AT110" s="3"/>
    </row>
    <row r="111" spans="5:46" x14ac:dyDescent="0.25">
      <c r="E111" s="32"/>
      <c r="F111" t="s">
        <v>196</v>
      </c>
      <c r="G111" t="s">
        <v>171</v>
      </c>
      <c r="J111" s="89">
        <f t="shared" ref="J111:AB111" si="32">J$57 * J40 * J99 / hours_in_year / $H51</f>
        <v>392.80480603957432</v>
      </c>
      <c r="K111" s="89">
        <f t="shared" si="32"/>
        <v>3.5692788225901371</v>
      </c>
      <c r="L111" s="89">
        <f t="shared" si="32"/>
        <v>176.56177979673458</v>
      </c>
      <c r="M111" s="89">
        <f t="shared" si="32"/>
        <v>4.3672679045656189</v>
      </c>
      <c r="N111" s="89">
        <f t="shared" si="32"/>
        <v>180.02192380402124</v>
      </c>
      <c r="O111" s="89">
        <f t="shared" si="32"/>
        <v>11.658325589016719</v>
      </c>
      <c r="P111" s="89">
        <f t="shared" si="32"/>
        <v>163.81798160152542</v>
      </c>
      <c r="Q111" s="89">
        <f t="shared" ref="Q111:S111" si="33">Q$57 * Q40 * Q99 / hours_in_year / $H51</f>
        <v>0</v>
      </c>
      <c r="R111" s="89">
        <f t="shared" si="33"/>
        <v>0</v>
      </c>
      <c r="S111" s="89">
        <f t="shared" si="33"/>
        <v>0</v>
      </c>
      <c r="T111" s="89">
        <f t="shared" si="32"/>
        <v>5.9875630156505277</v>
      </c>
      <c r="U111" s="89">
        <f t="shared" si="32"/>
        <v>-6.6755855848344009E-2</v>
      </c>
      <c r="V111" s="89">
        <f t="shared" si="32"/>
        <v>-1.1973328228886461E-3</v>
      </c>
      <c r="W111" s="89">
        <f t="shared" si="32"/>
        <v>-2.9230703540682188</v>
      </c>
      <c r="X111" s="89">
        <f t="shared" si="32"/>
        <v>0</v>
      </c>
      <c r="Y111" s="89">
        <f t="shared" si="32"/>
        <v>-6.0315674869372747E-2</v>
      </c>
      <c r="Z111" s="89">
        <f t="shared" si="32"/>
        <v>0</v>
      </c>
      <c r="AA111" s="89">
        <f t="shared" si="32"/>
        <v>0</v>
      </c>
      <c r="AB111" s="89">
        <f t="shared" si="32"/>
        <v>0</v>
      </c>
      <c r="AT111" s="3"/>
    </row>
    <row r="112" spans="5:46" x14ac:dyDescent="0.25">
      <c r="E112" s="32"/>
      <c r="F112" t="s">
        <v>197</v>
      </c>
      <c r="G112" t="s">
        <v>171</v>
      </c>
      <c r="J112" s="89">
        <f t="shared" ref="J112:AB112" si="34">J$57 * J41 * J100 / hours_in_year / $H52</f>
        <v>386.03230938371956</v>
      </c>
      <c r="K112" s="89">
        <f t="shared" si="34"/>
        <v>3.5077395325454797</v>
      </c>
      <c r="L112" s="89">
        <f t="shared" si="34"/>
        <v>173.5176111795495</v>
      </c>
      <c r="M112" s="89">
        <f t="shared" si="34"/>
        <v>4.2919701820731087</v>
      </c>
      <c r="N112" s="89">
        <f t="shared" si="34"/>
        <v>176.91809753153811</v>
      </c>
      <c r="O112" s="89">
        <f t="shared" si="34"/>
        <v>11.457319975412982</v>
      </c>
      <c r="P112" s="89">
        <f t="shared" si="34"/>
        <v>0</v>
      </c>
      <c r="Q112" s="89">
        <f t="shared" ref="Q112:S112" si="35">Q$57 * Q41 * Q100 / hours_in_year / $H52</f>
        <v>0</v>
      </c>
      <c r="R112" s="89">
        <f t="shared" si="35"/>
        <v>0</v>
      </c>
      <c r="S112" s="89">
        <f t="shared" si="35"/>
        <v>0</v>
      </c>
      <c r="T112" s="89">
        <f t="shared" si="34"/>
        <v>5.8843291705531042</v>
      </c>
      <c r="U112" s="89">
        <f t="shared" si="34"/>
        <v>-6.560489281647601E-2</v>
      </c>
      <c r="V112" s="89">
        <f t="shared" si="34"/>
        <v>0</v>
      </c>
      <c r="W112" s="89">
        <f t="shared" si="34"/>
        <v>-2.8726725893429048</v>
      </c>
      <c r="X112" s="89">
        <f t="shared" si="34"/>
        <v>0</v>
      </c>
      <c r="Y112" s="89">
        <f t="shared" si="34"/>
        <v>0</v>
      </c>
      <c r="Z112" s="89">
        <f t="shared" si="34"/>
        <v>0</v>
      </c>
      <c r="AA112" s="89">
        <f t="shared" si="34"/>
        <v>0</v>
      </c>
      <c r="AB112" s="89">
        <f t="shared" si="34"/>
        <v>0</v>
      </c>
      <c r="AT112" s="3"/>
    </row>
    <row r="113" spans="5:46" x14ac:dyDescent="0.25">
      <c r="E113" s="32"/>
      <c r="F113" s="37" t="s">
        <v>198</v>
      </c>
      <c r="G113" s="37" t="s">
        <v>171</v>
      </c>
      <c r="H113" s="37"/>
      <c r="I113" s="37"/>
      <c r="J113" s="82">
        <f t="shared" ref="J113:AB113" si="36">J$57 * J42 * J101 / hours_in_year / $H53</f>
        <v>367.04711384025791</v>
      </c>
      <c r="K113" s="82">
        <f t="shared" si="36"/>
        <v>3.3352277522563574</v>
      </c>
      <c r="L113" s="82">
        <f t="shared" si="36"/>
        <v>164.98395817071918</v>
      </c>
      <c r="M113" s="82">
        <f t="shared" si="36"/>
        <v>4.0808896813154147</v>
      </c>
      <c r="N113" s="82">
        <f t="shared" si="36"/>
        <v>168.21720748900344</v>
      </c>
      <c r="O113" s="82">
        <f t="shared" si="36"/>
        <v>0</v>
      </c>
      <c r="P113" s="82">
        <f t="shared" si="36"/>
        <v>0</v>
      </c>
      <c r="Q113" s="82">
        <f t="shared" ref="Q113:S113" si="37">Q$57 * Q42 * Q101 / hours_in_year / $H53</f>
        <v>0</v>
      </c>
      <c r="R113" s="82">
        <f t="shared" si="37"/>
        <v>0</v>
      </c>
      <c r="S113" s="82">
        <f t="shared" si="37"/>
        <v>0</v>
      </c>
      <c r="T113" s="82">
        <f t="shared" si="36"/>
        <v>5.5949359326570498</v>
      </c>
      <c r="U113" s="82">
        <f t="shared" si="36"/>
        <v>0</v>
      </c>
      <c r="V113" s="82">
        <f t="shared" si="36"/>
        <v>0</v>
      </c>
      <c r="W113" s="82">
        <f t="shared" si="36"/>
        <v>0</v>
      </c>
      <c r="X113" s="82">
        <f t="shared" si="36"/>
        <v>0</v>
      </c>
      <c r="Y113" s="82">
        <f t="shared" si="36"/>
        <v>0</v>
      </c>
      <c r="Z113" s="82">
        <f t="shared" si="36"/>
        <v>0</v>
      </c>
      <c r="AA113" s="82">
        <f t="shared" si="36"/>
        <v>0</v>
      </c>
      <c r="AB113" s="82">
        <f t="shared" si="36"/>
        <v>0</v>
      </c>
      <c r="AT113" s="3"/>
    </row>
    <row r="114" spans="5:46" x14ac:dyDescent="0.25">
      <c r="E114" s="32"/>
      <c r="J114" s="89"/>
      <c r="K114" s="89"/>
      <c r="L114" s="89"/>
      <c r="M114" s="89"/>
      <c r="N114" s="89"/>
      <c r="O114" s="89"/>
      <c r="P114" s="89"/>
      <c r="Q114" s="89"/>
      <c r="R114" s="89"/>
      <c r="S114" s="89"/>
      <c r="T114" s="89"/>
      <c r="U114" s="89"/>
      <c r="V114" s="89"/>
      <c r="W114" s="89"/>
      <c r="X114" s="89"/>
      <c r="Y114" s="89"/>
      <c r="Z114" s="89"/>
      <c r="AA114" s="89"/>
      <c r="AB114" s="89"/>
      <c r="AT114" s="3"/>
    </row>
    <row r="115" spans="5:46" x14ac:dyDescent="0.25">
      <c r="E115" s="32" t="s">
        <v>512</v>
      </c>
      <c r="J115" s="89"/>
      <c r="K115" s="89"/>
      <c r="L115" s="89"/>
      <c r="M115" s="89"/>
      <c r="N115" s="89"/>
      <c r="O115" s="89"/>
      <c r="P115" s="89"/>
      <c r="Q115" s="89"/>
      <c r="R115" s="89"/>
      <c r="S115" s="89"/>
      <c r="T115" s="89"/>
      <c r="U115" s="89"/>
      <c r="V115" s="89"/>
      <c r="W115" s="89"/>
      <c r="X115" s="89"/>
      <c r="Y115" s="89"/>
      <c r="Z115" s="89"/>
      <c r="AA115" s="89"/>
      <c r="AB115" s="89"/>
      <c r="AT115" s="3"/>
    </row>
    <row r="116" spans="5:46" x14ac:dyDescent="0.25">
      <c r="E116" s="32"/>
      <c r="F116" s="23" t="s">
        <v>190</v>
      </c>
      <c r="G116" s="23" t="s">
        <v>282</v>
      </c>
      <c r="H116" s="23"/>
      <c r="I116" s="23"/>
      <c r="J116" s="124">
        <f>'Pseudo-load coefficients'!J294</f>
        <v>1.4805259537586315E-2</v>
      </c>
      <c r="K116" s="124">
        <f>'Pseudo-load coefficients'!K294</f>
        <v>1.4805259537586315E-2</v>
      </c>
      <c r="L116" s="124">
        <f>'Pseudo-load coefficients'!L294</f>
        <v>1.7196383882860215E-2</v>
      </c>
      <c r="M116" s="124">
        <f>'Pseudo-load coefficients'!M294</f>
        <v>1.7196383882860215E-2</v>
      </c>
      <c r="N116" s="124">
        <f>'Pseudo-load coefficients'!N294</f>
        <v>1.3293274232446117E-2</v>
      </c>
      <c r="O116" s="124">
        <f>'Pseudo-load coefficients'!O294</f>
        <v>1.1371168633511621E-2</v>
      </c>
      <c r="P116" s="124">
        <f>'Pseudo-load coefficients'!P294</f>
        <v>1.1541859739695104E-2</v>
      </c>
      <c r="Q116" s="124">
        <f>'Pseudo-load coefficients'!Q294</f>
        <v>1.3293274232446117E-2</v>
      </c>
      <c r="R116" s="124">
        <f>'Pseudo-load coefficients'!R294</f>
        <v>1.1371168633511621E-2</v>
      </c>
      <c r="S116" s="124">
        <f>'Pseudo-load coefficients'!S294</f>
        <v>1.1541859739695104E-2</v>
      </c>
      <c r="T116" s="124">
        <f>'Pseudo-load coefficients'!T294</f>
        <v>1.163653936983337E-2</v>
      </c>
      <c r="U116" s="124">
        <f>'Pseudo-load coefficients'!U294</f>
        <v>1.0587312079975646E-2</v>
      </c>
      <c r="V116" s="124">
        <f>'Pseudo-load coefficients'!V294</f>
        <v>1.0587312079975646E-2</v>
      </c>
      <c r="W116" s="124">
        <f>'Pseudo-load coefficients'!W294</f>
        <v>1.0587312079975646E-2</v>
      </c>
      <c r="X116" s="124">
        <f>'Pseudo-load coefficients'!X294</f>
        <v>1.0587312079975646E-2</v>
      </c>
      <c r="Y116" s="124">
        <f>'Pseudo-load coefficients'!Y294</f>
        <v>1.0587312079975646E-2</v>
      </c>
      <c r="Z116" s="124">
        <f>'Pseudo-load coefficients'!Z294</f>
        <v>1.0587312079975646E-2</v>
      </c>
      <c r="AA116" s="124">
        <f>'Pseudo-load coefficients'!AA294</f>
        <v>1.0587312079975646E-2</v>
      </c>
      <c r="AB116" s="124">
        <f>'Pseudo-load coefficients'!AB294</f>
        <v>1.0587312079975646E-2</v>
      </c>
      <c r="AT116" s="3"/>
    </row>
    <row r="117" spans="5:46" x14ac:dyDescent="0.25">
      <c r="E117" s="32"/>
      <c r="F117" t="s">
        <v>191</v>
      </c>
      <c r="G117" t="s">
        <v>282</v>
      </c>
      <c r="J117" s="120">
        <f>'Pseudo-load coefficients'!J295</f>
        <v>0</v>
      </c>
      <c r="K117" s="120">
        <f>'Pseudo-load coefficients'!K295</f>
        <v>0</v>
      </c>
      <c r="L117" s="120">
        <f>'Pseudo-load coefficients'!L295</f>
        <v>0</v>
      </c>
      <c r="M117" s="120">
        <f>'Pseudo-load coefficients'!M295</f>
        <v>0</v>
      </c>
      <c r="N117" s="120">
        <f>'Pseudo-load coefficients'!N295</f>
        <v>0</v>
      </c>
      <c r="O117" s="120">
        <f>'Pseudo-load coefficients'!O295</f>
        <v>0</v>
      </c>
      <c r="P117" s="120">
        <f>'Pseudo-load coefficients'!P295</f>
        <v>0</v>
      </c>
      <c r="Q117" s="120">
        <f>'Pseudo-load coefficients'!Q295</f>
        <v>0</v>
      </c>
      <c r="R117" s="120">
        <f>'Pseudo-load coefficients'!R295</f>
        <v>0</v>
      </c>
      <c r="S117" s="120">
        <f>'Pseudo-load coefficients'!S295</f>
        <v>0</v>
      </c>
      <c r="T117" s="120">
        <f>'Pseudo-load coefficients'!T295</f>
        <v>0</v>
      </c>
      <c r="U117" s="120">
        <f>'Pseudo-load coefficients'!U295</f>
        <v>0</v>
      </c>
      <c r="V117" s="120">
        <f>'Pseudo-load coefficients'!V295</f>
        <v>0</v>
      </c>
      <c r="W117" s="120">
        <f>'Pseudo-load coefficients'!W295</f>
        <v>0</v>
      </c>
      <c r="X117" s="120">
        <f>'Pseudo-load coefficients'!X295</f>
        <v>0</v>
      </c>
      <c r="Y117" s="120">
        <f>'Pseudo-load coefficients'!Y295</f>
        <v>0</v>
      </c>
      <c r="Z117" s="120">
        <f>'Pseudo-load coefficients'!Z295</f>
        <v>0</v>
      </c>
      <c r="AA117" s="120">
        <f>'Pseudo-load coefficients'!AA295</f>
        <v>0</v>
      </c>
      <c r="AB117" s="120">
        <f>'Pseudo-load coefficients'!AB295</f>
        <v>0</v>
      </c>
      <c r="AT117" s="3"/>
    </row>
    <row r="118" spans="5:46" x14ac:dyDescent="0.25">
      <c r="E118" s="32"/>
      <c r="F118" t="s">
        <v>192</v>
      </c>
      <c r="G118" t="s">
        <v>282</v>
      </c>
      <c r="J118" s="120">
        <f>'Pseudo-load coefficients'!J296</f>
        <v>0</v>
      </c>
      <c r="K118" s="120">
        <f>'Pseudo-load coefficients'!K296</f>
        <v>0</v>
      </c>
      <c r="L118" s="120">
        <f>'Pseudo-load coefficients'!L296</f>
        <v>0</v>
      </c>
      <c r="M118" s="120">
        <f>'Pseudo-load coefficients'!M296</f>
        <v>0</v>
      </c>
      <c r="N118" s="120">
        <f>'Pseudo-load coefficients'!N296</f>
        <v>0</v>
      </c>
      <c r="O118" s="120">
        <f>'Pseudo-load coefficients'!O296</f>
        <v>0</v>
      </c>
      <c r="P118" s="120">
        <f>'Pseudo-load coefficients'!P296</f>
        <v>0</v>
      </c>
      <c r="Q118" s="120">
        <f>'Pseudo-load coefficients'!Q296</f>
        <v>0</v>
      </c>
      <c r="R118" s="120">
        <f>'Pseudo-load coefficients'!R296</f>
        <v>0</v>
      </c>
      <c r="S118" s="120">
        <f>'Pseudo-load coefficients'!S296</f>
        <v>0</v>
      </c>
      <c r="T118" s="120">
        <f>'Pseudo-load coefficients'!T296</f>
        <v>0</v>
      </c>
      <c r="U118" s="120">
        <f>'Pseudo-load coefficients'!U296</f>
        <v>0</v>
      </c>
      <c r="V118" s="120">
        <f>'Pseudo-load coefficients'!V296</f>
        <v>0</v>
      </c>
      <c r="W118" s="120">
        <f>'Pseudo-load coefficients'!W296</f>
        <v>0</v>
      </c>
      <c r="X118" s="120">
        <f>'Pseudo-load coefficients'!X296</f>
        <v>0</v>
      </c>
      <c r="Y118" s="120">
        <f>'Pseudo-load coefficients'!Y296</f>
        <v>0</v>
      </c>
      <c r="Z118" s="120">
        <f>'Pseudo-load coefficients'!Z296</f>
        <v>0</v>
      </c>
      <c r="AA118" s="120">
        <f>'Pseudo-load coefficients'!AA296</f>
        <v>0</v>
      </c>
      <c r="AB118" s="120">
        <f>'Pseudo-load coefficients'!AB296</f>
        <v>0</v>
      </c>
      <c r="AT118" s="3"/>
    </row>
    <row r="119" spans="5:46" x14ac:dyDescent="0.25">
      <c r="E119" s="32"/>
      <c r="F119" t="s">
        <v>193</v>
      </c>
      <c r="G119" t="s">
        <v>282</v>
      </c>
      <c r="J119" s="120">
        <f>'Pseudo-load coefficients'!J297</f>
        <v>1.4805259537586315E-2</v>
      </c>
      <c r="K119" s="120">
        <f>'Pseudo-load coefficients'!K297</f>
        <v>1.4805259537586315E-2</v>
      </c>
      <c r="L119" s="120">
        <f>'Pseudo-load coefficients'!L297</f>
        <v>1.7196383882860215E-2</v>
      </c>
      <c r="M119" s="120">
        <f>'Pseudo-load coefficients'!M297</f>
        <v>1.7196383882860215E-2</v>
      </c>
      <c r="N119" s="120">
        <f>'Pseudo-load coefficients'!N297</f>
        <v>1.3293274232446117E-2</v>
      </c>
      <c r="O119" s="120">
        <f>'Pseudo-load coefficients'!O297</f>
        <v>1.1371168633511621E-2</v>
      </c>
      <c r="P119" s="120">
        <f>'Pseudo-load coefficients'!P297</f>
        <v>1.1541859739695104E-2</v>
      </c>
      <c r="Q119" s="120">
        <f>'Pseudo-load coefficients'!Q297</f>
        <v>1.3293274232446117E-2</v>
      </c>
      <c r="R119" s="120">
        <f>'Pseudo-load coefficients'!R297</f>
        <v>1.1371168633511621E-2</v>
      </c>
      <c r="S119" s="120">
        <f>'Pseudo-load coefficients'!S297</f>
        <v>1.1541859739695104E-2</v>
      </c>
      <c r="T119" s="120">
        <f>'Pseudo-load coefficients'!T297</f>
        <v>1.163653936983337E-2</v>
      </c>
      <c r="U119" s="120">
        <f>'Pseudo-load coefficients'!U297</f>
        <v>1.0587312079975646E-2</v>
      </c>
      <c r="V119" s="120">
        <f>'Pseudo-load coefficients'!V297</f>
        <v>1.0587312079975646E-2</v>
      </c>
      <c r="W119" s="120">
        <f>'Pseudo-load coefficients'!W297</f>
        <v>1.0587312079975646E-2</v>
      </c>
      <c r="X119" s="120">
        <f>'Pseudo-load coefficients'!X297</f>
        <v>1.0587312079975646E-2</v>
      </c>
      <c r="Y119" s="120">
        <f>'Pseudo-load coefficients'!Y297</f>
        <v>1.0587312079975646E-2</v>
      </c>
      <c r="Z119" s="120">
        <f>'Pseudo-load coefficients'!Z297</f>
        <v>1.0587312079975646E-2</v>
      </c>
      <c r="AA119" s="120">
        <f>'Pseudo-load coefficients'!AA297</f>
        <v>1.0587312079975646E-2</v>
      </c>
      <c r="AB119" s="120">
        <f>'Pseudo-load coefficients'!AB297</f>
        <v>1.0587312079975646E-2</v>
      </c>
      <c r="AT119" s="3"/>
    </row>
    <row r="120" spans="5:46" x14ac:dyDescent="0.25">
      <c r="E120" s="32"/>
      <c r="F120" t="s">
        <v>194</v>
      </c>
      <c r="G120" t="s">
        <v>282</v>
      </c>
      <c r="J120" s="120">
        <f>'Pseudo-load coefficients'!J298</f>
        <v>4.1322546283744134E-2</v>
      </c>
      <c r="K120" s="120">
        <f>'Pseudo-load coefficients'!K298</f>
        <v>4.1322546283744134E-2</v>
      </c>
      <c r="L120" s="120">
        <f>'Pseudo-load coefficients'!L298</f>
        <v>4.7996346643469308E-2</v>
      </c>
      <c r="M120" s="120">
        <f>'Pseudo-load coefficients'!M298</f>
        <v>4.7996346643469308E-2</v>
      </c>
      <c r="N120" s="120">
        <f>'Pseudo-load coefficients'!N298</f>
        <v>3.7102486338602317E-2</v>
      </c>
      <c r="O120" s="120">
        <f>'Pseudo-load coefficients'!O298</f>
        <v>3.1737751098900924E-2</v>
      </c>
      <c r="P120" s="120">
        <f>'Pseudo-load coefficients'!P298</f>
        <v>3.2214162276805902E-2</v>
      </c>
      <c r="Q120" s="120">
        <f>'Pseudo-load coefficients'!Q298</f>
        <v>3.7102486338602317E-2</v>
      </c>
      <c r="R120" s="120">
        <f>'Pseudo-load coefficients'!R298</f>
        <v>3.1737751098900924E-2</v>
      </c>
      <c r="S120" s="120">
        <f>'Pseudo-load coefficients'!S298</f>
        <v>3.2214162276805902E-2</v>
      </c>
      <c r="T120" s="120">
        <f>'Pseudo-load coefficients'!T298</f>
        <v>3.2478419947438684E-2</v>
      </c>
      <c r="U120" s="120">
        <f>'Pseudo-load coefficients'!U298</f>
        <v>2.9549950970772461E-2</v>
      </c>
      <c r="V120" s="120">
        <f>'Pseudo-load coefficients'!V298</f>
        <v>2.9549950970772461E-2</v>
      </c>
      <c r="W120" s="120">
        <f>'Pseudo-load coefficients'!W298</f>
        <v>2.9549950970772461E-2</v>
      </c>
      <c r="X120" s="120">
        <f>'Pseudo-load coefficients'!X298</f>
        <v>2.9549950970772461E-2</v>
      </c>
      <c r="Y120" s="120">
        <f>'Pseudo-load coefficients'!Y298</f>
        <v>2.9549950970772461E-2</v>
      </c>
      <c r="Z120" s="120">
        <f>'Pseudo-load coefficients'!Z298</f>
        <v>2.9549950970772461E-2</v>
      </c>
      <c r="AA120" s="120">
        <f>'Pseudo-load coefficients'!AA298</f>
        <v>2.9549950970772461E-2</v>
      </c>
      <c r="AB120" s="120">
        <f>'Pseudo-load coefficients'!AB298</f>
        <v>2.9549950970772461E-2</v>
      </c>
      <c r="AT120" s="3"/>
    </row>
    <row r="121" spans="5:46" x14ac:dyDescent="0.25">
      <c r="E121" s="32"/>
      <c r="F121" t="s">
        <v>195</v>
      </c>
      <c r="G121" t="s">
        <v>282</v>
      </c>
      <c r="J121" s="120">
        <f>'Pseudo-load coefficients'!J299</f>
        <v>0</v>
      </c>
      <c r="K121" s="120">
        <f>'Pseudo-load coefficients'!K299</f>
        <v>0</v>
      </c>
      <c r="L121" s="120">
        <f>'Pseudo-load coefficients'!L299</f>
        <v>0</v>
      </c>
      <c r="M121" s="120">
        <f>'Pseudo-load coefficients'!M299</f>
        <v>0</v>
      </c>
      <c r="N121" s="120">
        <f>'Pseudo-load coefficients'!N299</f>
        <v>0</v>
      </c>
      <c r="O121" s="120">
        <f>'Pseudo-load coefficients'!O299</f>
        <v>0</v>
      </c>
      <c r="P121" s="120">
        <f>'Pseudo-load coefficients'!P299</f>
        <v>0</v>
      </c>
      <c r="Q121" s="120">
        <f>'Pseudo-load coefficients'!Q299</f>
        <v>0</v>
      </c>
      <c r="R121" s="120">
        <f>'Pseudo-load coefficients'!R299</f>
        <v>0</v>
      </c>
      <c r="S121" s="120">
        <f>'Pseudo-load coefficients'!S299</f>
        <v>0</v>
      </c>
      <c r="T121" s="120">
        <f>'Pseudo-load coefficients'!T299</f>
        <v>0</v>
      </c>
      <c r="U121" s="120">
        <f>'Pseudo-load coefficients'!U299</f>
        <v>0</v>
      </c>
      <c r="V121" s="120">
        <f>'Pseudo-load coefficients'!V299</f>
        <v>0</v>
      </c>
      <c r="W121" s="120">
        <f>'Pseudo-load coefficients'!W299</f>
        <v>0</v>
      </c>
      <c r="X121" s="120">
        <f>'Pseudo-load coefficients'!X299</f>
        <v>0</v>
      </c>
      <c r="Y121" s="120">
        <f>'Pseudo-load coefficients'!Y299</f>
        <v>0</v>
      </c>
      <c r="Z121" s="120">
        <f>'Pseudo-load coefficients'!Z299</f>
        <v>0</v>
      </c>
      <c r="AA121" s="120">
        <f>'Pseudo-load coefficients'!AA299</f>
        <v>0</v>
      </c>
      <c r="AB121" s="120">
        <f>'Pseudo-load coefficients'!AB299</f>
        <v>0</v>
      </c>
      <c r="AT121" s="3"/>
    </row>
    <row r="122" spans="5:46" x14ac:dyDescent="0.25">
      <c r="E122" s="32"/>
      <c r="F122" t="s">
        <v>196</v>
      </c>
      <c r="G122" t="s">
        <v>282</v>
      </c>
      <c r="J122" s="120">
        <f>'Pseudo-load coefficients'!J300</f>
        <v>4.1322546283744134E-2</v>
      </c>
      <c r="K122" s="120">
        <f>'Pseudo-load coefficients'!K300</f>
        <v>4.1322546283744134E-2</v>
      </c>
      <c r="L122" s="120">
        <f>'Pseudo-load coefficients'!L300</f>
        <v>4.7996346643469308E-2</v>
      </c>
      <c r="M122" s="120">
        <f>'Pseudo-load coefficients'!M300</f>
        <v>4.7996346643469308E-2</v>
      </c>
      <c r="N122" s="120">
        <f>'Pseudo-load coefficients'!N300</f>
        <v>3.7102486338602317E-2</v>
      </c>
      <c r="O122" s="120">
        <f>'Pseudo-load coefficients'!O300</f>
        <v>3.1737751098900924E-2</v>
      </c>
      <c r="P122" s="120">
        <f>'Pseudo-load coefficients'!P300</f>
        <v>3.2214162276805902E-2</v>
      </c>
      <c r="Q122" s="120">
        <f>'Pseudo-load coefficients'!Q300</f>
        <v>3.7102486338602317E-2</v>
      </c>
      <c r="R122" s="120">
        <f>'Pseudo-load coefficients'!R300</f>
        <v>3.1737751098900924E-2</v>
      </c>
      <c r="S122" s="120">
        <f>'Pseudo-load coefficients'!S300</f>
        <v>3.2214162276805902E-2</v>
      </c>
      <c r="T122" s="120">
        <f>'Pseudo-load coefficients'!T300</f>
        <v>3.2478419947438684E-2</v>
      </c>
      <c r="U122" s="120">
        <f>'Pseudo-load coefficients'!U300</f>
        <v>2.9549950970772461E-2</v>
      </c>
      <c r="V122" s="120">
        <f>'Pseudo-load coefficients'!V300</f>
        <v>2.9549950970772461E-2</v>
      </c>
      <c r="W122" s="120">
        <f>'Pseudo-load coefficients'!W300</f>
        <v>2.9549950970772461E-2</v>
      </c>
      <c r="X122" s="120">
        <f>'Pseudo-load coefficients'!X300</f>
        <v>2.9549950970772461E-2</v>
      </c>
      <c r="Y122" s="120">
        <f>'Pseudo-load coefficients'!Y300</f>
        <v>2.9549950970772461E-2</v>
      </c>
      <c r="Z122" s="120">
        <f>'Pseudo-load coefficients'!Z300</f>
        <v>2.9549950970772461E-2</v>
      </c>
      <c r="AA122" s="120">
        <f>'Pseudo-load coefficients'!AA300</f>
        <v>2.9549950970772461E-2</v>
      </c>
      <c r="AB122" s="120">
        <f>'Pseudo-load coefficients'!AB300</f>
        <v>2.9549950970772461E-2</v>
      </c>
      <c r="AT122" s="3"/>
    </row>
    <row r="123" spans="5:46" x14ac:dyDescent="0.25">
      <c r="E123" s="32"/>
      <c r="F123" t="s">
        <v>197</v>
      </c>
      <c r="G123" t="s">
        <v>282</v>
      </c>
      <c r="J123" s="120">
        <f>'Pseudo-load coefficients'!J301</f>
        <v>4.1322546283744134E-2</v>
      </c>
      <c r="K123" s="120">
        <f>'Pseudo-load coefficients'!K301</f>
        <v>4.1322546283744134E-2</v>
      </c>
      <c r="L123" s="120">
        <f>'Pseudo-load coefficients'!L301</f>
        <v>4.7996346643469308E-2</v>
      </c>
      <c r="M123" s="120">
        <f>'Pseudo-load coefficients'!M301</f>
        <v>4.7996346643469308E-2</v>
      </c>
      <c r="N123" s="120">
        <f>'Pseudo-load coefficients'!N301</f>
        <v>3.7102486338602317E-2</v>
      </c>
      <c r="O123" s="120">
        <f>'Pseudo-load coefficients'!O301</f>
        <v>3.1737751098900924E-2</v>
      </c>
      <c r="P123" s="120">
        <f>'Pseudo-load coefficients'!P301</f>
        <v>3.2214162276805902E-2</v>
      </c>
      <c r="Q123" s="120">
        <f>'Pseudo-load coefficients'!Q301</f>
        <v>3.7102486338602317E-2</v>
      </c>
      <c r="R123" s="120">
        <f>'Pseudo-load coefficients'!R301</f>
        <v>3.1737751098900924E-2</v>
      </c>
      <c r="S123" s="120">
        <f>'Pseudo-load coefficients'!S301</f>
        <v>3.2214162276805902E-2</v>
      </c>
      <c r="T123" s="120">
        <f>'Pseudo-load coefficients'!T301</f>
        <v>3.2478419947438684E-2</v>
      </c>
      <c r="U123" s="120">
        <f>'Pseudo-load coefficients'!U301</f>
        <v>2.9549950970772461E-2</v>
      </c>
      <c r="V123" s="120">
        <f>'Pseudo-load coefficients'!V301</f>
        <v>2.9549950970772461E-2</v>
      </c>
      <c r="W123" s="120">
        <f>'Pseudo-load coefficients'!W301</f>
        <v>2.9549950970772461E-2</v>
      </c>
      <c r="X123" s="120">
        <f>'Pseudo-load coefficients'!X301</f>
        <v>2.9549950970772461E-2</v>
      </c>
      <c r="Y123" s="120">
        <f>'Pseudo-load coefficients'!Y301</f>
        <v>2.9549950970772461E-2</v>
      </c>
      <c r="Z123" s="120">
        <f>'Pseudo-load coefficients'!Z301</f>
        <v>2.9549950970772461E-2</v>
      </c>
      <c r="AA123" s="120">
        <f>'Pseudo-load coefficients'!AA301</f>
        <v>2.9549950970772461E-2</v>
      </c>
      <c r="AB123" s="120">
        <f>'Pseudo-load coefficients'!AB301</f>
        <v>2.9549950970772461E-2</v>
      </c>
      <c r="AT123" s="3"/>
    </row>
    <row r="124" spans="5:46" x14ac:dyDescent="0.25">
      <c r="E124" s="32"/>
      <c r="F124" s="37" t="s">
        <v>198</v>
      </c>
      <c r="G124" s="37" t="s">
        <v>282</v>
      </c>
      <c r="H124" s="37"/>
      <c r="I124" s="37"/>
      <c r="J124" s="125">
        <f>'Pseudo-load coefficients'!J302</f>
        <v>4.1322546283744134E-2</v>
      </c>
      <c r="K124" s="125">
        <f>'Pseudo-load coefficients'!K302</f>
        <v>4.1322546283744134E-2</v>
      </c>
      <c r="L124" s="125">
        <f>'Pseudo-load coefficients'!L302</f>
        <v>4.7996346643469308E-2</v>
      </c>
      <c r="M124" s="125">
        <f>'Pseudo-load coefficients'!M302</f>
        <v>4.7996346643469308E-2</v>
      </c>
      <c r="N124" s="125">
        <f>'Pseudo-load coefficients'!N302</f>
        <v>3.7102486338602317E-2</v>
      </c>
      <c r="O124" s="125">
        <f>'Pseudo-load coefficients'!O302</f>
        <v>3.1737751098900924E-2</v>
      </c>
      <c r="P124" s="125">
        <f>'Pseudo-load coefficients'!P302</f>
        <v>3.2214162276805902E-2</v>
      </c>
      <c r="Q124" s="125">
        <f>'Pseudo-load coefficients'!Q302</f>
        <v>3.7102486338602317E-2</v>
      </c>
      <c r="R124" s="125">
        <f>'Pseudo-load coefficients'!R302</f>
        <v>3.1737751098900924E-2</v>
      </c>
      <c r="S124" s="125">
        <f>'Pseudo-load coefficients'!S302</f>
        <v>3.2214162276805902E-2</v>
      </c>
      <c r="T124" s="125">
        <f>'Pseudo-load coefficients'!T302</f>
        <v>3.2478419947438684E-2</v>
      </c>
      <c r="U124" s="125">
        <f>'Pseudo-load coefficients'!U302</f>
        <v>2.9549950970772461E-2</v>
      </c>
      <c r="V124" s="125">
        <f>'Pseudo-load coefficients'!V302</f>
        <v>2.9549950970772461E-2</v>
      </c>
      <c r="W124" s="125">
        <f>'Pseudo-load coefficients'!W302</f>
        <v>2.9549950970772461E-2</v>
      </c>
      <c r="X124" s="125">
        <f>'Pseudo-load coefficients'!X302</f>
        <v>2.9549950970772461E-2</v>
      </c>
      <c r="Y124" s="125">
        <f>'Pseudo-load coefficients'!Y302</f>
        <v>2.9549950970772461E-2</v>
      </c>
      <c r="Z124" s="125">
        <f>'Pseudo-load coefficients'!Z302</f>
        <v>2.9549950970772461E-2</v>
      </c>
      <c r="AA124" s="125">
        <f>'Pseudo-load coefficients'!AA302</f>
        <v>2.9549950970772461E-2</v>
      </c>
      <c r="AB124" s="125">
        <f>'Pseudo-load coefficients'!AB302</f>
        <v>2.9549950970772461E-2</v>
      </c>
      <c r="AT124" s="3"/>
    </row>
    <row r="125" spans="5:46" x14ac:dyDescent="0.25">
      <c r="E125" s="32"/>
      <c r="J125" s="89"/>
      <c r="K125" s="89"/>
      <c r="L125" s="89"/>
      <c r="M125" s="89"/>
      <c r="N125" s="89"/>
      <c r="O125" s="89"/>
      <c r="P125" s="89"/>
      <c r="Q125" s="89"/>
      <c r="R125" s="89"/>
      <c r="S125" s="89"/>
      <c r="T125" s="89"/>
      <c r="U125" s="89"/>
      <c r="V125" s="89"/>
      <c r="W125" s="89"/>
      <c r="X125" s="89"/>
      <c r="Y125" s="89"/>
      <c r="Z125" s="89"/>
      <c r="AA125" s="89"/>
      <c r="AB125" s="89"/>
      <c r="AT125" s="3"/>
    </row>
    <row r="126" spans="5:46" x14ac:dyDescent="0.25">
      <c r="E126" s="32" t="s">
        <v>513</v>
      </c>
      <c r="J126" s="89"/>
      <c r="K126" s="89"/>
      <c r="L126" s="89"/>
      <c r="M126" s="89"/>
      <c r="N126" s="89"/>
      <c r="O126" s="89"/>
      <c r="P126" s="89"/>
      <c r="Q126" s="89"/>
      <c r="R126" s="89"/>
      <c r="S126" s="89"/>
      <c r="T126" s="89"/>
      <c r="U126" s="89"/>
      <c r="V126" s="89"/>
      <c r="W126" s="89"/>
      <c r="X126" s="89"/>
      <c r="Y126" s="89"/>
      <c r="Z126" s="89"/>
      <c r="AA126" s="89"/>
      <c r="AB126" s="89"/>
      <c r="AT126" s="3"/>
    </row>
    <row r="127" spans="5:46" x14ac:dyDescent="0.25">
      <c r="E127" s="29" t="s">
        <v>514</v>
      </c>
      <c r="J127" s="89"/>
      <c r="K127" s="89"/>
      <c r="L127" s="89"/>
      <c r="M127" s="89"/>
      <c r="N127" s="89"/>
      <c r="O127" s="89"/>
      <c r="P127" s="89"/>
      <c r="Q127" s="89"/>
      <c r="R127" s="89"/>
      <c r="S127" s="89"/>
      <c r="T127" s="89"/>
      <c r="U127" s="89"/>
      <c r="V127" s="89"/>
      <c r="W127" s="89"/>
      <c r="X127" s="89"/>
      <c r="Y127" s="89"/>
      <c r="Z127" s="89"/>
      <c r="AA127" s="89"/>
      <c r="AB127" s="89"/>
      <c r="AT127" s="3"/>
    </row>
    <row r="128" spans="5:46" x14ac:dyDescent="0.25">
      <c r="E128" s="32"/>
      <c r="F128" s="23" t="s">
        <v>190</v>
      </c>
      <c r="G128" s="23" t="s">
        <v>171</v>
      </c>
      <c r="H128" s="23"/>
      <c r="I128" s="23"/>
      <c r="J128" s="158">
        <f t="shared" ref="J128:AB128" si="38">J$58 * J34 * J116 / hours_in_year / $H45</f>
        <v>4.5205416338402369</v>
      </c>
      <c r="K128" s="158">
        <f t="shared" si="38"/>
        <v>0.45560925935391994</v>
      </c>
      <c r="L128" s="158">
        <f t="shared" si="38"/>
        <v>2.1311121789964806</v>
      </c>
      <c r="M128" s="158">
        <f t="shared" si="38"/>
        <v>0.11329227309005457</v>
      </c>
      <c r="N128" s="158">
        <f t="shared" si="38"/>
        <v>1.9645160554211145</v>
      </c>
      <c r="O128" s="158">
        <f t="shared" si="38"/>
        <v>0.14407877457477949</v>
      </c>
      <c r="P128" s="158">
        <f t="shared" si="38"/>
        <v>2.1917211025079286</v>
      </c>
      <c r="Q128" s="158">
        <f t="shared" ref="Q128:S128" si="39">Q$58 * Q34 * Q116 / hours_in_year / $H45</f>
        <v>0</v>
      </c>
      <c r="R128" s="158">
        <f t="shared" si="39"/>
        <v>0</v>
      </c>
      <c r="S128" s="158">
        <f t="shared" si="39"/>
        <v>0</v>
      </c>
      <c r="T128" s="158">
        <f t="shared" si="38"/>
        <v>0.2762848223523367</v>
      </c>
      <c r="U128" s="158">
        <f t="shared" si="38"/>
        <v>-9.3023333000202759E-4</v>
      </c>
      <c r="V128" s="158">
        <f t="shared" si="38"/>
        <v>-2.0196429587581949E-5</v>
      </c>
      <c r="W128" s="158">
        <f t="shared" si="38"/>
        <v>-4.1113386810665425E-2</v>
      </c>
      <c r="X128" s="158">
        <f t="shared" si="38"/>
        <v>0</v>
      </c>
      <c r="Y128" s="158">
        <f t="shared" si="38"/>
        <v>-1.0186049244787544E-3</v>
      </c>
      <c r="Z128" s="158">
        <f t="shared" si="38"/>
        <v>0</v>
      </c>
      <c r="AA128" s="158">
        <f t="shared" si="38"/>
        <v>-0.62938392414615973</v>
      </c>
      <c r="AB128" s="158">
        <f t="shared" si="38"/>
        <v>0</v>
      </c>
      <c r="AT128" s="3"/>
    </row>
    <row r="129" spans="3:46" x14ac:dyDescent="0.25">
      <c r="E129" s="32"/>
      <c r="F129" t="s">
        <v>191</v>
      </c>
      <c r="G129" t="s">
        <v>171</v>
      </c>
      <c r="J129" s="89">
        <f t="shared" ref="J129:AB129" si="40">J$58 * J35 * J117 / hours_in_year / $H46</f>
        <v>0</v>
      </c>
      <c r="K129" s="89">
        <f t="shared" si="40"/>
        <v>0</v>
      </c>
      <c r="L129" s="89">
        <f t="shared" si="40"/>
        <v>0</v>
      </c>
      <c r="M129" s="89">
        <f t="shared" si="40"/>
        <v>0</v>
      </c>
      <c r="N129" s="89">
        <f t="shared" si="40"/>
        <v>0</v>
      </c>
      <c r="O129" s="89">
        <f t="shared" si="40"/>
        <v>0</v>
      </c>
      <c r="P129" s="89">
        <f t="shared" si="40"/>
        <v>0</v>
      </c>
      <c r="Q129" s="89">
        <f t="shared" ref="Q129:S129" si="41">Q$58 * Q35 * Q117 / hours_in_year / $H46</f>
        <v>0</v>
      </c>
      <c r="R129" s="89">
        <f t="shared" si="41"/>
        <v>0</v>
      </c>
      <c r="S129" s="89">
        <f t="shared" si="41"/>
        <v>0</v>
      </c>
      <c r="T129" s="89">
        <f t="shared" si="40"/>
        <v>0</v>
      </c>
      <c r="U129" s="89">
        <f t="shared" si="40"/>
        <v>0</v>
      </c>
      <c r="V129" s="89">
        <f t="shared" si="40"/>
        <v>0</v>
      </c>
      <c r="W129" s="89">
        <f t="shared" si="40"/>
        <v>0</v>
      </c>
      <c r="X129" s="89">
        <f t="shared" si="40"/>
        <v>0</v>
      </c>
      <c r="Y129" s="89">
        <f t="shared" si="40"/>
        <v>0</v>
      </c>
      <c r="Z129" s="89">
        <f t="shared" si="40"/>
        <v>0</v>
      </c>
      <c r="AA129" s="89">
        <f t="shared" si="40"/>
        <v>0</v>
      </c>
      <c r="AB129" s="89">
        <f t="shared" si="40"/>
        <v>0</v>
      </c>
      <c r="AT129" s="3"/>
    </row>
    <row r="130" spans="3:46" x14ac:dyDescent="0.25">
      <c r="E130" s="32"/>
      <c r="F130" t="s">
        <v>192</v>
      </c>
      <c r="G130" t="s">
        <v>171</v>
      </c>
      <c r="J130" s="89">
        <f t="shared" ref="J130:AB130" si="42">J$58 * J36 * J118 / hours_in_year / $H47</f>
        <v>0</v>
      </c>
      <c r="K130" s="89">
        <f t="shared" si="42"/>
        <v>0</v>
      </c>
      <c r="L130" s="89">
        <f t="shared" si="42"/>
        <v>0</v>
      </c>
      <c r="M130" s="89">
        <f t="shared" si="42"/>
        <v>0</v>
      </c>
      <c r="N130" s="89">
        <f t="shared" si="42"/>
        <v>0</v>
      </c>
      <c r="O130" s="89">
        <f t="shared" si="42"/>
        <v>0</v>
      </c>
      <c r="P130" s="89">
        <f t="shared" si="42"/>
        <v>0</v>
      </c>
      <c r="Q130" s="89">
        <f t="shared" ref="Q130:S130" si="43">Q$58 * Q36 * Q118 / hours_in_year / $H47</f>
        <v>0</v>
      </c>
      <c r="R130" s="89">
        <f t="shared" si="43"/>
        <v>0</v>
      </c>
      <c r="S130" s="89">
        <f t="shared" si="43"/>
        <v>0</v>
      </c>
      <c r="T130" s="89">
        <f t="shared" si="42"/>
        <v>0</v>
      </c>
      <c r="U130" s="89">
        <f t="shared" si="42"/>
        <v>0</v>
      </c>
      <c r="V130" s="89">
        <f t="shared" si="42"/>
        <v>0</v>
      </c>
      <c r="W130" s="89">
        <f t="shared" si="42"/>
        <v>0</v>
      </c>
      <c r="X130" s="89">
        <f t="shared" si="42"/>
        <v>0</v>
      </c>
      <c r="Y130" s="89">
        <f t="shared" si="42"/>
        <v>0</v>
      </c>
      <c r="Z130" s="89">
        <f t="shared" si="42"/>
        <v>0</v>
      </c>
      <c r="AA130" s="89">
        <f t="shared" si="42"/>
        <v>0</v>
      </c>
      <c r="AB130" s="89">
        <f t="shared" si="42"/>
        <v>0</v>
      </c>
      <c r="AT130" s="3"/>
    </row>
    <row r="131" spans="3:46" x14ac:dyDescent="0.25">
      <c r="E131" s="32"/>
      <c r="F131" t="s">
        <v>193</v>
      </c>
      <c r="G131" t="s">
        <v>171</v>
      </c>
      <c r="J131" s="89">
        <f t="shared" ref="J131:AB131" si="44">J$58 * J37 * J119 / hours_in_year / $H48</f>
        <v>4.5025315078090005</v>
      </c>
      <c r="K131" s="89">
        <f t="shared" si="44"/>
        <v>0.45379408302183261</v>
      </c>
      <c r="L131" s="89">
        <f t="shared" si="44"/>
        <v>2.1226216922275705</v>
      </c>
      <c r="M131" s="89">
        <f t="shared" si="44"/>
        <v>0.11284090945224559</v>
      </c>
      <c r="N131" s="89">
        <f t="shared" si="44"/>
        <v>1.9566892982282018</v>
      </c>
      <c r="O131" s="89">
        <f t="shared" si="44"/>
        <v>0.14350475555256922</v>
      </c>
      <c r="P131" s="89">
        <f t="shared" si="44"/>
        <v>2.1829891459242319</v>
      </c>
      <c r="Q131" s="89">
        <f t="shared" ref="Q131:S131" si="45">Q$58 * Q37 * Q119 / hours_in_year / $H48</f>
        <v>0</v>
      </c>
      <c r="R131" s="89">
        <f t="shared" si="45"/>
        <v>0</v>
      </c>
      <c r="S131" s="89">
        <f t="shared" si="45"/>
        <v>0</v>
      </c>
      <c r="T131" s="89">
        <f t="shared" si="44"/>
        <v>0.27518408600830346</v>
      </c>
      <c r="U131" s="89">
        <f t="shared" si="44"/>
        <v>-9.2652722111755733E-4</v>
      </c>
      <c r="V131" s="89">
        <f t="shared" si="44"/>
        <v>-2.0115965724683215E-5</v>
      </c>
      <c r="W131" s="89">
        <f t="shared" si="44"/>
        <v>-4.0949588456838076E-2</v>
      </c>
      <c r="X131" s="89">
        <f t="shared" si="44"/>
        <v>0</v>
      </c>
      <c r="Y131" s="89">
        <f t="shared" si="44"/>
        <v>-1.0145467375286398E-3</v>
      </c>
      <c r="Z131" s="89">
        <f t="shared" si="44"/>
        <v>0</v>
      </c>
      <c r="AA131" s="89">
        <f t="shared" si="44"/>
        <v>-0.6268764184722706</v>
      </c>
      <c r="AB131" s="89">
        <f t="shared" si="44"/>
        <v>0</v>
      </c>
      <c r="AT131" s="3"/>
    </row>
    <row r="132" spans="3:46" x14ac:dyDescent="0.25">
      <c r="E132" s="32"/>
      <c r="F132" t="s">
        <v>194</v>
      </c>
      <c r="G132" t="s">
        <v>171</v>
      </c>
      <c r="J132" s="89">
        <f t="shared" ref="J132:AB132" si="46">J$58 * J38 * J120 / hours_in_year / $H49</f>
        <v>12.455239353141412</v>
      </c>
      <c r="K132" s="89">
        <f t="shared" si="46"/>
        <v>1.2553191268675106</v>
      </c>
      <c r="L132" s="89">
        <f t="shared" si="46"/>
        <v>5.8717548532446511</v>
      </c>
      <c r="M132" s="89">
        <f t="shared" si="46"/>
        <v>0.31214896189317154</v>
      </c>
      <c r="N132" s="89">
        <f t="shared" si="46"/>
        <v>5.4127402566521647</v>
      </c>
      <c r="O132" s="89">
        <f t="shared" si="46"/>
        <v>0.39697358599741761</v>
      </c>
      <c r="P132" s="89">
        <f t="shared" si="46"/>
        <v>6.0387478178974332</v>
      </c>
      <c r="Q132" s="89">
        <f t="shared" ref="Q132:S132" si="47">Q$58 * Q38 * Q120 / hours_in_year / $H49</f>
        <v>0</v>
      </c>
      <c r="R132" s="89">
        <f t="shared" si="47"/>
        <v>0</v>
      </c>
      <c r="S132" s="89">
        <f t="shared" si="47"/>
        <v>0</v>
      </c>
      <c r="T132" s="89">
        <f t="shared" si="46"/>
        <v>0.76123479679473427</v>
      </c>
      <c r="U132" s="89">
        <f t="shared" si="46"/>
        <v>-2.5630288841300636E-3</v>
      </c>
      <c r="V132" s="89">
        <f t="shared" si="46"/>
        <v>-5.5646288645837635E-5</v>
      </c>
      <c r="W132" s="89">
        <f t="shared" si="46"/>
        <v>-0.11327781377164567</v>
      </c>
      <c r="X132" s="89">
        <f t="shared" si="46"/>
        <v>0</v>
      </c>
      <c r="Y132" s="89">
        <f t="shared" si="46"/>
        <v>-2.8065150524659E-3</v>
      </c>
      <c r="Z132" s="89">
        <f t="shared" si="46"/>
        <v>0</v>
      </c>
      <c r="AA132" s="89">
        <f t="shared" si="46"/>
        <v>-1.734112426169697</v>
      </c>
      <c r="AB132" s="89">
        <f t="shared" si="46"/>
        <v>0</v>
      </c>
      <c r="AT132" s="3"/>
    </row>
    <row r="133" spans="3:46" x14ac:dyDescent="0.25">
      <c r="E133" s="32"/>
      <c r="F133" t="s">
        <v>195</v>
      </c>
      <c r="G133" t="s">
        <v>171</v>
      </c>
      <c r="J133" s="89">
        <f t="shared" ref="J133:AB133" si="48">J$58 * J39 * J121 / hours_in_year / $H50</f>
        <v>0</v>
      </c>
      <c r="K133" s="89">
        <f t="shared" si="48"/>
        <v>0</v>
      </c>
      <c r="L133" s="89">
        <f t="shared" si="48"/>
        <v>0</v>
      </c>
      <c r="M133" s="89">
        <f t="shared" si="48"/>
        <v>0</v>
      </c>
      <c r="N133" s="89">
        <f t="shared" si="48"/>
        <v>0</v>
      </c>
      <c r="O133" s="89">
        <f t="shared" si="48"/>
        <v>0</v>
      </c>
      <c r="P133" s="89">
        <f t="shared" si="48"/>
        <v>0</v>
      </c>
      <c r="Q133" s="89">
        <f t="shared" ref="Q133:S133" si="49">Q$58 * Q39 * Q121 / hours_in_year / $H50</f>
        <v>0</v>
      </c>
      <c r="R133" s="89">
        <f t="shared" si="49"/>
        <v>0</v>
      </c>
      <c r="S133" s="89">
        <f t="shared" si="49"/>
        <v>0</v>
      </c>
      <c r="T133" s="89">
        <f t="shared" si="48"/>
        <v>0</v>
      </c>
      <c r="U133" s="89">
        <f t="shared" si="48"/>
        <v>0</v>
      </c>
      <c r="V133" s="89">
        <f t="shared" si="48"/>
        <v>0</v>
      </c>
      <c r="W133" s="89">
        <f t="shared" si="48"/>
        <v>0</v>
      </c>
      <c r="X133" s="89">
        <f t="shared" si="48"/>
        <v>0</v>
      </c>
      <c r="Y133" s="89">
        <f t="shared" si="48"/>
        <v>0</v>
      </c>
      <c r="Z133" s="89">
        <f t="shared" si="48"/>
        <v>0</v>
      </c>
      <c r="AA133" s="89">
        <f t="shared" si="48"/>
        <v>0</v>
      </c>
      <c r="AB133" s="89">
        <f t="shared" si="48"/>
        <v>0</v>
      </c>
      <c r="AT133" s="3"/>
    </row>
    <row r="134" spans="3:46" x14ac:dyDescent="0.25">
      <c r="E134" s="32"/>
      <c r="F134" t="s">
        <v>196</v>
      </c>
      <c r="G134" t="s">
        <v>171</v>
      </c>
      <c r="J134" s="89">
        <f t="shared" ref="J134:AB134" si="50">J$58 * J40 * J122 / hours_in_year / $H51</f>
        <v>12.297424429563597</v>
      </c>
      <c r="K134" s="89">
        <f t="shared" si="50"/>
        <v>1.2394135238955049</v>
      </c>
      <c r="L134" s="89">
        <f t="shared" si="50"/>
        <v>5.7973563999384314</v>
      </c>
      <c r="M134" s="89">
        <f t="shared" si="50"/>
        <v>0.30819385808750754</v>
      </c>
      <c r="N134" s="89">
        <f t="shared" si="50"/>
        <v>5.344157777766708</v>
      </c>
      <c r="O134" s="89">
        <f t="shared" si="50"/>
        <v>0.39194370625281089</v>
      </c>
      <c r="P134" s="89">
        <f t="shared" si="50"/>
        <v>5.9622334693275816</v>
      </c>
      <c r="Q134" s="89">
        <f t="shared" ref="Q134:S134" si="51">Q$58 * Q40 * Q122 / hours_in_year / $H51</f>
        <v>0</v>
      </c>
      <c r="R134" s="89">
        <f t="shared" si="51"/>
        <v>0</v>
      </c>
      <c r="S134" s="89">
        <f t="shared" si="51"/>
        <v>0</v>
      </c>
      <c r="T134" s="89">
        <f t="shared" si="50"/>
        <v>0.75158952159168202</v>
      </c>
      <c r="U134" s="89">
        <f t="shared" si="50"/>
        <v>-2.5305538592824113E-3</v>
      </c>
      <c r="V134" s="89">
        <f t="shared" si="50"/>
        <v>-5.4941218711728573E-5</v>
      </c>
      <c r="W134" s="89">
        <f t="shared" si="50"/>
        <v>-0.11184251983496787</v>
      </c>
      <c r="X134" s="89">
        <f t="shared" si="50"/>
        <v>0</v>
      </c>
      <c r="Y134" s="89">
        <f t="shared" si="50"/>
        <v>-2.7709549202221797E-3</v>
      </c>
      <c r="Z134" s="89">
        <f t="shared" si="50"/>
        <v>0</v>
      </c>
      <c r="AA134" s="89">
        <f t="shared" si="50"/>
        <v>0</v>
      </c>
      <c r="AB134" s="89">
        <f t="shared" si="50"/>
        <v>0</v>
      </c>
      <c r="AT134" s="3"/>
    </row>
    <row r="135" spans="3:46" x14ac:dyDescent="0.25">
      <c r="E135" s="32"/>
      <c r="F135" t="s">
        <v>197</v>
      </c>
      <c r="G135" t="s">
        <v>171</v>
      </c>
      <c r="J135" s="89">
        <f t="shared" ref="J135:AB135" si="52">J$58 * J41 * J123 / hours_in_year / $H52</f>
        <v>12.085399870433189</v>
      </c>
      <c r="K135" s="89">
        <f t="shared" si="52"/>
        <v>1.2180443252076514</v>
      </c>
      <c r="L135" s="89">
        <f t="shared" si="52"/>
        <v>5.6974019792498378</v>
      </c>
      <c r="M135" s="89">
        <f t="shared" si="52"/>
        <v>0.30288017087910224</v>
      </c>
      <c r="N135" s="89">
        <f t="shared" si="52"/>
        <v>5.2520171264259021</v>
      </c>
      <c r="O135" s="89">
        <f t="shared" si="52"/>
        <v>0.38518605614500384</v>
      </c>
      <c r="P135" s="89">
        <f t="shared" si="52"/>
        <v>0</v>
      </c>
      <c r="Q135" s="89">
        <f t="shared" ref="Q135:S135" si="53">Q$58 * Q41 * Q123 / hours_in_year / $H52</f>
        <v>0</v>
      </c>
      <c r="R135" s="89">
        <f t="shared" si="53"/>
        <v>0</v>
      </c>
      <c r="S135" s="89">
        <f t="shared" si="53"/>
        <v>0</v>
      </c>
      <c r="T135" s="89">
        <f t="shared" si="52"/>
        <v>0.73863108156423918</v>
      </c>
      <c r="U135" s="89">
        <f t="shared" si="52"/>
        <v>-2.4869236203292661E-3</v>
      </c>
      <c r="V135" s="89">
        <f t="shared" si="52"/>
        <v>0</v>
      </c>
      <c r="W135" s="89">
        <f t="shared" si="52"/>
        <v>-0.10991420052746843</v>
      </c>
      <c r="X135" s="89">
        <f t="shared" si="52"/>
        <v>0</v>
      </c>
      <c r="Y135" s="89">
        <f t="shared" si="52"/>
        <v>0</v>
      </c>
      <c r="Z135" s="89">
        <f t="shared" si="52"/>
        <v>0</v>
      </c>
      <c r="AA135" s="89">
        <f t="shared" si="52"/>
        <v>0</v>
      </c>
      <c r="AB135" s="89">
        <f t="shared" si="52"/>
        <v>0</v>
      </c>
      <c r="AT135" s="3"/>
    </row>
    <row r="136" spans="3:46" x14ac:dyDescent="0.25">
      <c r="E136" s="32"/>
      <c r="F136" s="37" t="s">
        <v>198</v>
      </c>
      <c r="G136" s="37" t="s">
        <v>171</v>
      </c>
      <c r="H136" s="37"/>
      <c r="I136" s="37"/>
      <c r="J136" s="82">
        <f t="shared" ref="J136:AB136" si="54">J$58 * J42 * J124 / hours_in_year / $H53</f>
        <v>11.491035942379098</v>
      </c>
      <c r="K136" s="82">
        <f t="shared" si="54"/>
        <v>1.1581405059351439</v>
      </c>
      <c r="L136" s="82">
        <f t="shared" si="54"/>
        <v>5.4172018819096817</v>
      </c>
      <c r="M136" s="82">
        <f t="shared" si="54"/>
        <v>0.28798442477029396</v>
      </c>
      <c r="N136" s="82">
        <f t="shared" si="54"/>
        <v>4.9937212021754478</v>
      </c>
      <c r="O136" s="82">
        <f t="shared" si="54"/>
        <v>0</v>
      </c>
      <c r="P136" s="82">
        <f t="shared" si="54"/>
        <v>0</v>
      </c>
      <c r="Q136" s="82">
        <f t="shared" ref="Q136:S136" si="55">Q$58 * Q42 * Q124 / hours_in_year / $H53</f>
        <v>0</v>
      </c>
      <c r="R136" s="82">
        <f t="shared" si="55"/>
        <v>0</v>
      </c>
      <c r="S136" s="82">
        <f t="shared" si="55"/>
        <v>0</v>
      </c>
      <c r="T136" s="82">
        <f t="shared" si="54"/>
        <v>0.70230496279878474</v>
      </c>
      <c r="U136" s="82">
        <f t="shared" si="54"/>
        <v>0</v>
      </c>
      <c r="V136" s="82">
        <f t="shared" si="54"/>
        <v>0</v>
      </c>
      <c r="W136" s="82">
        <f t="shared" si="54"/>
        <v>0</v>
      </c>
      <c r="X136" s="82">
        <f t="shared" si="54"/>
        <v>0</v>
      </c>
      <c r="Y136" s="82">
        <f t="shared" si="54"/>
        <v>0</v>
      </c>
      <c r="Z136" s="82">
        <f t="shared" si="54"/>
        <v>0</v>
      </c>
      <c r="AA136" s="82">
        <f t="shared" si="54"/>
        <v>0</v>
      </c>
      <c r="AB136" s="82">
        <f t="shared" si="54"/>
        <v>0</v>
      </c>
      <c r="AT136" s="3"/>
    </row>
    <row r="137" spans="3:46" x14ac:dyDescent="0.25">
      <c r="D137" s="32"/>
      <c r="J137" s="89"/>
      <c r="K137" s="89"/>
      <c r="L137" s="89"/>
      <c r="M137" s="89"/>
      <c r="N137" s="89"/>
      <c r="O137" s="89"/>
      <c r="P137" s="89"/>
      <c r="Q137" s="89"/>
      <c r="R137" s="89"/>
      <c r="S137" s="89"/>
      <c r="T137" s="89"/>
      <c r="U137" s="89"/>
      <c r="V137" s="89"/>
      <c r="W137" s="89"/>
      <c r="X137" s="89"/>
      <c r="Y137" s="89"/>
      <c r="Z137" s="89"/>
      <c r="AA137" s="89"/>
      <c r="AB137" s="89"/>
      <c r="AT137" s="3"/>
    </row>
    <row r="138" spans="3:46" x14ac:dyDescent="0.25">
      <c r="C138" s="31" t="str">
        <f ca="1">INDEX('Version control'!$H$34:$H$57,MATCH($A$1,'Version control'!$F$34:$F$57,0),1)&amp;"-C: System peak load, all unit rates"</f>
        <v>Section 106-C: System peak load, all unit rates</v>
      </c>
      <c r="D138" s="31"/>
      <c r="E138" s="31"/>
      <c r="F138" s="31"/>
      <c r="G138" s="31"/>
      <c r="H138" s="31"/>
      <c r="I138" s="31"/>
      <c r="J138" s="90"/>
      <c r="K138" s="90"/>
      <c r="L138" s="90"/>
      <c r="M138" s="90"/>
      <c r="N138" s="90"/>
      <c r="O138" s="90"/>
      <c r="P138" s="90"/>
      <c r="Q138" s="90"/>
      <c r="R138" s="90"/>
      <c r="S138" s="90"/>
      <c r="T138" s="90"/>
      <c r="U138" s="90"/>
      <c r="V138" s="90"/>
      <c r="W138" s="90"/>
      <c r="X138" s="90"/>
      <c r="Y138" s="90"/>
      <c r="Z138" s="90"/>
      <c r="AA138" s="90"/>
      <c r="AB138" s="90"/>
      <c r="AC138" s="31"/>
      <c r="AD138" s="31"/>
      <c r="AT138" s="3"/>
    </row>
    <row r="139" spans="3:46" x14ac:dyDescent="0.25">
      <c r="H139" s="63"/>
      <c r="J139" s="89"/>
      <c r="K139" s="89"/>
      <c r="L139" s="89"/>
      <c r="M139" s="89"/>
      <c r="N139" s="89"/>
      <c r="O139" s="89"/>
      <c r="P139" s="89"/>
      <c r="Q139" s="89"/>
      <c r="R139" s="89"/>
      <c r="S139" s="89"/>
      <c r="T139" s="89"/>
      <c r="U139" s="89"/>
      <c r="V139" s="89"/>
      <c r="W139" s="89"/>
      <c r="X139" s="89"/>
      <c r="Y139" s="89"/>
      <c r="Z139" s="89"/>
      <c r="AA139" s="89"/>
      <c r="AB139" s="89"/>
    </row>
    <row r="140" spans="3:46" x14ac:dyDescent="0.25">
      <c r="E140" s="32" t="s">
        <v>515</v>
      </c>
      <c r="J140" s="89"/>
      <c r="K140" s="89"/>
      <c r="L140" s="89"/>
      <c r="M140" s="89"/>
      <c r="N140" s="89"/>
      <c r="O140" s="89"/>
      <c r="P140" s="89"/>
      <c r="Q140" s="89"/>
      <c r="R140" s="89"/>
      <c r="S140" s="89"/>
      <c r="T140" s="89"/>
      <c r="U140" s="89"/>
      <c r="V140" s="89"/>
      <c r="W140" s="89"/>
      <c r="X140" s="89"/>
      <c r="Y140" s="89"/>
      <c r="Z140" s="89"/>
      <c r="AA140" s="89"/>
      <c r="AB140" s="89"/>
      <c r="AT140" s="3"/>
    </row>
    <row r="141" spans="3:46" x14ac:dyDescent="0.25">
      <c r="E141" s="29" t="s">
        <v>516</v>
      </c>
      <c r="J141" s="89"/>
      <c r="K141" s="89"/>
      <c r="L141" s="89"/>
      <c r="M141" s="89"/>
      <c r="N141" s="89"/>
      <c r="O141" s="89"/>
      <c r="P141" s="89"/>
      <c r="Q141" s="89"/>
      <c r="R141" s="89"/>
      <c r="S141" s="89"/>
      <c r="T141" s="89"/>
      <c r="U141" s="89"/>
      <c r="V141" s="89"/>
      <c r="W141" s="89"/>
      <c r="X141" s="89"/>
      <c r="Y141" s="89"/>
      <c r="Z141" s="89"/>
      <c r="AA141" s="89"/>
      <c r="AB141" s="89"/>
      <c r="AT141" s="3"/>
    </row>
    <row r="142" spans="3:46" x14ac:dyDescent="0.25">
      <c r="C142" s="32"/>
      <c r="F142" s="23" t="s">
        <v>190</v>
      </c>
      <c r="G142" s="23" t="s">
        <v>171</v>
      </c>
      <c r="H142" s="23"/>
      <c r="I142" s="23"/>
      <c r="J142" s="158">
        <f t="shared" ref="J142:AB142" si="56">J82 + J105 + J128</f>
        <v>1386.4713030543721</v>
      </c>
      <c r="K142" s="158">
        <f t="shared" si="56"/>
        <v>5.1559980267560368</v>
      </c>
      <c r="L142" s="158">
        <f t="shared" si="56"/>
        <v>456.91138811350123</v>
      </c>
      <c r="M142" s="158">
        <f t="shared" si="56"/>
        <v>10.519747246525604</v>
      </c>
      <c r="N142" s="158">
        <f t="shared" si="56"/>
        <v>508.24426379200531</v>
      </c>
      <c r="O142" s="158">
        <f t="shared" si="56"/>
        <v>33.512184297916328</v>
      </c>
      <c r="P142" s="158">
        <f t="shared" si="56"/>
        <v>473.35255653173618</v>
      </c>
      <c r="Q142" s="158">
        <f t="shared" ref="Q142:S142" si="57">Q82 + Q105 + Q128</f>
        <v>0</v>
      </c>
      <c r="R142" s="158">
        <f t="shared" si="57"/>
        <v>0</v>
      </c>
      <c r="S142" s="158">
        <f t="shared" si="57"/>
        <v>0</v>
      </c>
      <c r="T142" s="158">
        <f t="shared" si="56"/>
        <v>49.020815047446781</v>
      </c>
      <c r="U142" s="158">
        <f t="shared" si="56"/>
        <v>-0.19766654104724962</v>
      </c>
      <c r="V142" s="158">
        <f t="shared" si="56"/>
        <v>-3.780660295578114E-3</v>
      </c>
      <c r="W142" s="158">
        <f t="shared" si="56"/>
        <v>-8.6550262997882239</v>
      </c>
      <c r="X142" s="158">
        <f t="shared" si="56"/>
        <v>0</v>
      </c>
      <c r="Y142" s="158">
        <f t="shared" si="56"/>
        <v>-0.19011168964667813</v>
      </c>
      <c r="Z142" s="158">
        <f t="shared" si="56"/>
        <v>0</v>
      </c>
      <c r="AA142" s="158">
        <f t="shared" si="56"/>
        <v>-147.1402947575167</v>
      </c>
      <c r="AB142" s="158">
        <f t="shared" si="56"/>
        <v>0</v>
      </c>
      <c r="AT142" s="3"/>
    </row>
    <row r="143" spans="3:46" x14ac:dyDescent="0.25">
      <c r="C143" s="32"/>
      <c r="F143" t="s">
        <v>191</v>
      </c>
      <c r="G143" t="s">
        <v>171</v>
      </c>
      <c r="J143" s="89">
        <f t="shared" ref="J143:AB143" si="58">J83 + J106 + J129</f>
        <v>0</v>
      </c>
      <c r="K143" s="89">
        <f t="shared" si="58"/>
        <v>0</v>
      </c>
      <c r="L143" s="89">
        <f t="shared" si="58"/>
        <v>0</v>
      </c>
      <c r="M143" s="89">
        <f t="shared" si="58"/>
        <v>0</v>
      </c>
      <c r="N143" s="89">
        <f t="shared" si="58"/>
        <v>0</v>
      </c>
      <c r="O143" s="89">
        <f t="shared" si="58"/>
        <v>0</v>
      </c>
      <c r="P143" s="89">
        <f t="shared" si="58"/>
        <v>0</v>
      </c>
      <c r="Q143" s="89">
        <f t="shared" ref="Q143:S143" si="59">Q83 + Q106 + Q129</f>
        <v>0</v>
      </c>
      <c r="R143" s="89">
        <f t="shared" si="59"/>
        <v>0</v>
      </c>
      <c r="S143" s="89">
        <f t="shared" si="59"/>
        <v>0</v>
      </c>
      <c r="T143" s="89">
        <f t="shared" si="58"/>
        <v>0</v>
      </c>
      <c r="U143" s="89">
        <f t="shared" si="58"/>
        <v>0</v>
      </c>
      <c r="V143" s="89">
        <f t="shared" si="58"/>
        <v>0</v>
      </c>
      <c r="W143" s="89">
        <f t="shared" si="58"/>
        <v>0</v>
      </c>
      <c r="X143" s="89">
        <f t="shared" si="58"/>
        <v>0</v>
      </c>
      <c r="Y143" s="89">
        <f t="shared" si="58"/>
        <v>0</v>
      </c>
      <c r="Z143" s="89">
        <f t="shared" si="58"/>
        <v>0</v>
      </c>
      <c r="AA143" s="89">
        <f t="shared" si="58"/>
        <v>0</v>
      </c>
      <c r="AB143" s="89">
        <f t="shared" si="58"/>
        <v>0</v>
      </c>
      <c r="AT143" s="3"/>
    </row>
    <row r="144" spans="3:46" x14ac:dyDescent="0.25">
      <c r="C144" s="32"/>
      <c r="F144" t="s">
        <v>192</v>
      </c>
      <c r="G144" t="s">
        <v>171</v>
      </c>
      <c r="J144" s="89">
        <f t="shared" ref="J144:AB144" si="60">J84 + J107 + J130</f>
        <v>0</v>
      </c>
      <c r="K144" s="89">
        <f t="shared" si="60"/>
        <v>0</v>
      </c>
      <c r="L144" s="89">
        <f t="shared" si="60"/>
        <v>0</v>
      </c>
      <c r="M144" s="89">
        <f t="shared" si="60"/>
        <v>0</v>
      </c>
      <c r="N144" s="89">
        <f t="shared" si="60"/>
        <v>0</v>
      </c>
      <c r="O144" s="89">
        <f t="shared" si="60"/>
        <v>0</v>
      </c>
      <c r="P144" s="89">
        <f t="shared" si="60"/>
        <v>0</v>
      </c>
      <c r="Q144" s="89">
        <f t="shared" ref="Q144:S144" si="61">Q84 + Q107 + Q130</f>
        <v>0</v>
      </c>
      <c r="R144" s="89">
        <f t="shared" si="61"/>
        <v>0</v>
      </c>
      <c r="S144" s="89">
        <f t="shared" si="61"/>
        <v>0</v>
      </c>
      <c r="T144" s="89">
        <f t="shared" si="60"/>
        <v>0</v>
      </c>
      <c r="U144" s="89">
        <f t="shared" si="60"/>
        <v>0</v>
      </c>
      <c r="V144" s="89">
        <f t="shared" si="60"/>
        <v>0</v>
      </c>
      <c r="W144" s="89">
        <f t="shared" si="60"/>
        <v>0</v>
      </c>
      <c r="X144" s="89">
        <f t="shared" si="60"/>
        <v>0</v>
      </c>
      <c r="Y144" s="89">
        <f t="shared" si="60"/>
        <v>0</v>
      </c>
      <c r="Z144" s="89">
        <f t="shared" si="60"/>
        <v>0</v>
      </c>
      <c r="AA144" s="89">
        <f t="shared" si="60"/>
        <v>0</v>
      </c>
      <c r="AB144" s="89">
        <f t="shared" si="60"/>
        <v>0</v>
      </c>
      <c r="AT144" s="3"/>
    </row>
    <row r="145" spans="3:46" x14ac:dyDescent="0.25">
      <c r="C145" s="32"/>
      <c r="F145" t="s">
        <v>193</v>
      </c>
      <c r="G145" t="s">
        <v>171</v>
      </c>
      <c r="J145" s="89">
        <f t="shared" ref="J145:AB145" si="62">J85 + J108 + J131</f>
        <v>1380.9475130023627</v>
      </c>
      <c r="K145" s="89">
        <f t="shared" si="62"/>
        <v>5.1354562019482444</v>
      </c>
      <c r="L145" s="89">
        <f t="shared" si="62"/>
        <v>455.09102401743155</v>
      </c>
      <c r="M145" s="89">
        <f t="shared" si="62"/>
        <v>10.477835902913949</v>
      </c>
      <c r="N145" s="89">
        <f t="shared" si="62"/>
        <v>506.21938624701716</v>
      </c>
      <c r="O145" s="89">
        <f t="shared" si="62"/>
        <v>33.378669619438575</v>
      </c>
      <c r="P145" s="89">
        <f t="shared" si="62"/>
        <v>471.46668977264562</v>
      </c>
      <c r="Q145" s="89">
        <f t="shared" ref="Q145:S145" si="63">Q85 + Q108 + Q131</f>
        <v>0</v>
      </c>
      <c r="R145" s="89">
        <f t="shared" si="63"/>
        <v>0</v>
      </c>
      <c r="S145" s="89">
        <f t="shared" si="63"/>
        <v>0</v>
      </c>
      <c r="T145" s="89">
        <f t="shared" si="62"/>
        <v>48.825512995464919</v>
      </c>
      <c r="U145" s="89">
        <f t="shared" si="62"/>
        <v>-0.19687902494745976</v>
      </c>
      <c r="V145" s="89">
        <f t="shared" si="62"/>
        <v>-3.7655979039622647E-3</v>
      </c>
      <c r="W145" s="89">
        <f t="shared" si="62"/>
        <v>-8.6205441232950459</v>
      </c>
      <c r="X145" s="89">
        <f t="shared" si="62"/>
        <v>0</v>
      </c>
      <c r="Y145" s="89">
        <f t="shared" si="62"/>
        <v>-0.18935427255645229</v>
      </c>
      <c r="Z145" s="89">
        <f t="shared" si="62"/>
        <v>0</v>
      </c>
      <c r="AA145" s="89">
        <f t="shared" si="62"/>
        <v>-146.5540784437417</v>
      </c>
      <c r="AB145" s="89">
        <f t="shared" si="62"/>
        <v>0</v>
      </c>
      <c r="AT145" s="3"/>
    </row>
    <row r="146" spans="3:46" x14ac:dyDescent="0.25">
      <c r="C146" s="32"/>
      <c r="F146" t="s">
        <v>194</v>
      </c>
      <c r="G146" t="s">
        <v>171</v>
      </c>
      <c r="J146" s="89">
        <f t="shared" ref="J146:AB146" si="64">J86 + J109 + J132</f>
        <v>1340.6027834875406</v>
      </c>
      <c r="K146" s="89">
        <f t="shared" si="64"/>
        <v>6.5292680001366268</v>
      </c>
      <c r="L146" s="89">
        <f t="shared" si="64"/>
        <v>458.96847224010537</v>
      </c>
      <c r="M146" s="89">
        <f t="shared" si="64"/>
        <v>10.790897115397559</v>
      </c>
      <c r="N146" s="89">
        <f t="shared" si="64"/>
        <v>504.21711042252076</v>
      </c>
      <c r="O146" s="89">
        <f t="shared" si="64"/>
        <v>33.202385739680942</v>
      </c>
      <c r="P146" s="89">
        <f t="shared" si="64"/>
        <v>468.9837261118405</v>
      </c>
      <c r="Q146" s="89">
        <f t="shared" ref="Q146:S146" si="65">Q86 + Q109 + Q132</f>
        <v>0</v>
      </c>
      <c r="R146" s="89">
        <f t="shared" si="65"/>
        <v>0</v>
      </c>
      <c r="S146" s="89">
        <f t="shared" si="65"/>
        <v>0</v>
      </c>
      <c r="T146" s="89">
        <f t="shared" si="64"/>
        <v>45.577557390515508</v>
      </c>
      <c r="U146" s="89">
        <f t="shared" si="64"/>
        <v>-0.19531065209196408</v>
      </c>
      <c r="V146" s="89">
        <f t="shared" si="64"/>
        <v>-3.7132236810808032E-3</v>
      </c>
      <c r="W146" s="89">
        <f t="shared" si="64"/>
        <v>-8.5526273377054132</v>
      </c>
      <c r="X146" s="89">
        <f t="shared" si="64"/>
        <v>0</v>
      </c>
      <c r="Y146" s="89">
        <f t="shared" si="64"/>
        <v>-0.18676271987373558</v>
      </c>
      <c r="Z146" s="89">
        <f t="shared" si="64"/>
        <v>0</v>
      </c>
      <c r="AA146" s="89">
        <f t="shared" si="64"/>
        <v>-143.3997121858535</v>
      </c>
      <c r="AB146" s="89">
        <f t="shared" si="64"/>
        <v>0</v>
      </c>
      <c r="AT146" s="3"/>
    </row>
    <row r="147" spans="3:46" x14ac:dyDescent="0.25">
      <c r="C147" s="32"/>
      <c r="F147" t="s">
        <v>195</v>
      </c>
      <c r="G147" t="s">
        <v>171</v>
      </c>
      <c r="H147" s="63"/>
      <c r="J147" s="89">
        <f t="shared" ref="J147:AB147" si="66">J87 + J110 + J133</f>
        <v>0</v>
      </c>
      <c r="K147" s="89">
        <f t="shared" si="66"/>
        <v>0</v>
      </c>
      <c r="L147" s="89">
        <f t="shared" si="66"/>
        <v>0</v>
      </c>
      <c r="M147" s="89">
        <f t="shared" si="66"/>
        <v>0</v>
      </c>
      <c r="N147" s="89">
        <f t="shared" si="66"/>
        <v>0</v>
      </c>
      <c r="O147" s="89">
        <f t="shared" si="66"/>
        <v>0</v>
      </c>
      <c r="P147" s="89">
        <f t="shared" si="66"/>
        <v>0</v>
      </c>
      <c r="Q147" s="89">
        <f t="shared" ref="Q147:S147" si="67">Q87 + Q110 + Q133</f>
        <v>0</v>
      </c>
      <c r="R147" s="89">
        <f t="shared" si="67"/>
        <v>0</v>
      </c>
      <c r="S147" s="89">
        <f t="shared" si="67"/>
        <v>0</v>
      </c>
      <c r="T147" s="89">
        <f t="shared" si="66"/>
        <v>0</v>
      </c>
      <c r="U147" s="89">
        <f t="shared" si="66"/>
        <v>0</v>
      </c>
      <c r="V147" s="89">
        <f t="shared" si="66"/>
        <v>0</v>
      </c>
      <c r="W147" s="89">
        <f t="shared" si="66"/>
        <v>0</v>
      </c>
      <c r="X147" s="89">
        <f t="shared" si="66"/>
        <v>0</v>
      </c>
      <c r="Y147" s="89">
        <f t="shared" si="66"/>
        <v>0</v>
      </c>
      <c r="Z147" s="89">
        <f t="shared" si="66"/>
        <v>0</v>
      </c>
      <c r="AA147" s="89">
        <f t="shared" si="66"/>
        <v>0</v>
      </c>
      <c r="AB147" s="89">
        <f t="shared" si="66"/>
        <v>0</v>
      </c>
      <c r="AT147" s="3"/>
    </row>
    <row r="148" spans="3:46" x14ac:dyDescent="0.25">
      <c r="C148" s="32"/>
      <c r="F148" t="s">
        <v>196</v>
      </c>
      <c r="G148" t="s">
        <v>171</v>
      </c>
      <c r="J148" s="89">
        <f t="shared" ref="J148:AB148" si="68">J88 + J111 + J134</f>
        <v>1323.616588375125</v>
      </c>
      <c r="K148" s="89">
        <f t="shared" si="68"/>
        <v>6.4465384835656936</v>
      </c>
      <c r="L148" s="89">
        <f t="shared" si="68"/>
        <v>453.15308224096168</v>
      </c>
      <c r="M148" s="89">
        <f t="shared" si="68"/>
        <v>10.654170348828194</v>
      </c>
      <c r="N148" s="89">
        <f>N88 + N111 + N134</f>
        <v>497.82839459845371</v>
      </c>
      <c r="O148" s="89">
        <f t="shared" si="68"/>
        <v>32.781692742979324</v>
      </c>
      <c r="P148" s="89">
        <f t="shared" si="68"/>
        <v>463.0414371844974</v>
      </c>
      <c r="Q148" s="89">
        <f>Q88 + Q111 + Q134</f>
        <v>0</v>
      </c>
      <c r="R148" s="89">
        <f t="shared" ref="R148:S148" si="69">R88 + R111 + R134</f>
        <v>0</v>
      </c>
      <c r="S148" s="89">
        <f t="shared" si="69"/>
        <v>0</v>
      </c>
      <c r="T148" s="89">
        <f t="shared" si="68"/>
        <v>45.00006397328675</v>
      </c>
      <c r="U148" s="89">
        <f t="shared" si="68"/>
        <v>-0.19283595572042844</v>
      </c>
      <c r="V148" s="89">
        <f t="shared" si="68"/>
        <v>-3.6661750379482E-3</v>
      </c>
      <c r="W148" s="89">
        <f t="shared" si="68"/>
        <v>-8.4442607145181121</v>
      </c>
      <c r="X148" s="89">
        <f t="shared" si="68"/>
        <v>0</v>
      </c>
      <c r="Y148" s="89">
        <f t="shared" si="68"/>
        <v>-0.18439633063556929</v>
      </c>
      <c r="Z148" s="89">
        <f t="shared" si="68"/>
        <v>0</v>
      </c>
      <c r="AA148" s="89">
        <f t="shared" si="68"/>
        <v>0</v>
      </c>
      <c r="AB148" s="89">
        <f t="shared" si="68"/>
        <v>0</v>
      </c>
      <c r="AT148" s="3"/>
    </row>
    <row r="149" spans="3:46" x14ac:dyDescent="0.25">
      <c r="C149" s="32"/>
      <c r="F149" t="s">
        <v>197</v>
      </c>
      <c r="G149" t="s">
        <v>171</v>
      </c>
      <c r="J149" s="89">
        <f t="shared" ref="J149:AB149" si="70">J89 + J112 + J135</f>
        <v>1300.7956127134848</v>
      </c>
      <c r="K149" s="89">
        <f t="shared" si="70"/>
        <v>6.3353912683318026</v>
      </c>
      <c r="L149" s="89">
        <f t="shared" si="70"/>
        <v>445.34009806439332</v>
      </c>
      <c r="M149" s="89">
        <f t="shared" si="70"/>
        <v>10.470477756607018</v>
      </c>
      <c r="N149" s="89">
        <f t="shared" si="70"/>
        <v>489.24514641572171</v>
      </c>
      <c r="O149" s="89">
        <f t="shared" si="70"/>
        <v>32.216491143962443</v>
      </c>
      <c r="P149" s="89">
        <f t="shared" si="70"/>
        <v>0</v>
      </c>
      <c r="Q149" s="89">
        <f t="shared" ref="Q149:S149" si="71">Q89 + Q112 + Q135</f>
        <v>0</v>
      </c>
      <c r="R149" s="89">
        <f t="shared" si="71"/>
        <v>0</v>
      </c>
      <c r="S149" s="89">
        <f t="shared" si="71"/>
        <v>0</v>
      </c>
      <c r="T149" s="89">
        <f t="shared" si="70"/>
        <v>44.224200801333524</v>
      </c>
      <c r="U149" s="89">
        <f t="shared" si="70"/>
        <v>-0.18951119786317966</v>
      </c>
      <c r="V149" s="89">
        <f t="shared" si="70"/>
        <v>0</v>
      </c>
      <c r="W149" s="89">
        <f t="shared" si="70"/>
        <v>-8.2986700125436617</v>
      </c>
      <c r="X149" s="89">
        <f t="shared" si="70"/>
        <v>0</v>
      </c>
      <c r="Y149" s="89">
        <f t="shared" si="70"/>
        <v>0</v>
      </c>
      <c r="Z149" s="89">
        <f t="shared" si="70"/>
        <v>0</v>
      </c>
      <c r="AA149" s="89">
        <f t="shared" si="70"/>
        <v>0</v>
      </c>
      <c r="AB149" s="89">
        <f t="shared" si="70"/>
        <v>0</v>
      </c>
      <c r="AT149" s="3"/>
    </row>
    <row r="150" spans="3:46" x14ac:dyDescent="0.25">
      <c r="C150" s="32"/>
      <c r="F150" s="37" t="s">
        <v>198</v>
      </c>
      <c r="G150" s="37" t="s">
        <v>171</v>
      </c>
      <c r="H150" s="37"/>
      <c r="I150" s="37"/>
      <c r="J150" s="82">
        <f t="shared" ref="J150:AB150" si="72">J90 + J113 + J136</f>
        <v>1236.8220579898709</v>
      </c>
      <c r="K150" s="82">
        <f t="shared" si="72"/>
        <v>6.0238146485777797</v>
      </c>
      <c r="L150" s="82">
        <f t="shared" si="72"/>
        <v>423.43812602843957</v>
      </c>
      <c r="M150" s="82">
        <f t="shared" si="72"/>
        <v>9.9555362275935551</v>
      </c>
      <c r="N150" s="82">
        <f t="shared" si="72"/>
        <v>465.18390970675176</v>
      </c>
      <c r="O150" s="82">
        <f t="shared" si="72"/>
        <v>0</v>
      </c>
      <c r="P150" s="82">
        <f t="shared" si="72"/>
        <v>0</v>
      </c>
      <c r="Q150" s="82">
        <f t="shared" ref="Q150:S150" si="73">Q90 + Q113 + Q136</f>
        <v>0</v>
      </c>
      <c r="R150" s="82">
        <f t="shared" si="73"/>
        <v>0</v>
      </c>
      <c r="S150" s="82">
        <f t="shared" si="73"/>
        <v>0</v>
      </c>
      <c r="T150" s="82">
        <f t="shared" si="72"/>
        <v>42.049240106185977</v>
      </c>
      <c r="U150" s="82">
        <f t="shared" si="72"/>
        <v>0</v>
      </c>
      <c r="V150" s="82">
        <f t="shared" si="72"/>
        <v>0</v>
      </c>
      <c r="W150" s="82">
        <f t="shared" si="72"/>
        <v>0</v>
      </c>
      <c r="X150" s="82">
        <f t="shared" si="72"/>
        <v>0</v>
      </c>
      <c r="Y150" s="82">
        <f t="shared" si="72"/>
        <v>0</v>
      </c>
      <c r="Z150" s="82">
        <f t="shared" si="72"/>
        <v>0</v>
      </c>
      <c r="AA150" s="82">
        <f t="shared" si="72"/>
        <v>0</v>
      </c>
      <c r="AB150" s="82">
        <f t="shared" si="72"/>
        <v>0</v>
      </c>
      <c r="AT150" s="3"/>
    </row>
    <row r="151" spans="3:46" x14ac:dyDescent="0.25">
      <c r="C151" s="32"/>
      <c r="J151" s="63"/>
      <c r="K151" s="63"/>
      <c r="L151" s="63"/>
      <c r="M151" s="63"/>
      <c r="N151" s="63"/>
      <c r="O151" s="63"/>
      <c r="P151" s="63"/>
      <c r="Q151" s="63"/>
      <c r="R151" s="63"/>
      <c r="S151" s="63"/>
      <c r="T151" s="63"/>
      <c r="U151" s="63"/>
      <c r="V151" s="63"/>
      <c r="W151" s="63"/>
      <c r="X151" s="63"/>
      <c r="Y151" s="63"/>
      <c r="Z151" s="63"/>
      <c r="AA151" s="63"/>
      <c r="AB151" s="63"/>
      <c r="AT151" s="3"/>
    </row>
    <row r="152" spans="3:46" x14ac:dyDescent="0.25">
      <c r="E152" s="32" t="s">
        <v>517</v>
      </c>
      <c r="J152" s="63"/>
      <c r="K152" s="63"/>
      <c r="L152" s="63"/>
      <c r="M152" s="63"/>
      <c r="N152" s="63"/>
      <c r="O152" s="63"/>
      <c r="P152" s="63"/>
      <c r="Q152" s="63"/>
      <c r="R152" s="63"/>
      <c r="S152" s="63"/>
      <c r="T152" s="63"/>
      <c r="U152" s="63"/>
      <c r="V152" s="63"/>
      <c r="W152" s="63"/>
      <c r="X152" s="63"/>
      <c r="Y152" s="63"/>
      <c r="Z152" s="63"/>
      <c r="AA152" s="63"/>
      <c r="AB152" s="63"/>
      <c r="AT152" s="3"/>
    </row>
    <row r="153" spans="3:46" x14ac:dyDescent="0.25">
      <c r="E153" s="29" t="s">
        <v>518</v>
      </c>
      <c r="J153" s="63"/>
      <c r="K153" s="63"/>
      <c r="L153" s="63"/>
      <c r="M153" s="63"/>
      <c r="N153" s="63"/>
      <c r="O153" s="63"/>
      <c r="P153" s="63"/>
      <c r="Q153" s="63"/>
      <c r="R153" s="63"/>
      <c r="S153" s="63"/>
      <c r="T153" s="63"/>
      <c r="U153" s="63"/>
      <c r="V153" s="63"/>
      <c r="W153" s="63"/>
      <c r="X153" s="63"/>
      <c r="Y153" s="63"/>
      <c r="Z153" s="63"/>
      <c r="AA153" s="63"/>
      <c r="AB153" s="63"/>
      <c r="AT153" s="3"/>
    </row>
    <row r="154" spans="3:46" x14ac:dyDescent="0.25">
      <c r="C154" s="32"/>
      <c r="F154" s="23" t="s">
        <v>190</v>
      </c>
      <c r="G154" s="23" t="s">
        <v>519</v>
      </c>
      <c r="H154" s="101">
        <f t="shared" ref="H154:H162" si="74">SUM(J142:AB142) * thousand</f>
        <v>2767001.376161966</v>
      </c>
      <c r="J154" s="63"/>
      <c r="K154" s="63"/>
      <c r="L154" s="63"/>
      <c r="M154" s="63"/>
      <c r="N154" s="63"/>
      <c r="O154" s="63"/>
      <c r="P154" s="63"/>
      <c r="Q154" s="63"/>
      <c r="R154" s="63"/>
      <c r="S154" s="63"/>
      <c r="T154" s="63"/>
      <c r="U154" s="63"/>
      <c r="V154" s="63"/>
      <c r="W154" s="63"/>
      <c r="X154" s="63"/>
      <c r="Y154" s="63"/>
      <c r="Z154" s="63"/>
      <c r="AA154" s="63"/>
      <c r="AB154" s="63"/>
      <c r="AT154" s="3"/>
    </row>
    <row r="155" spans="3:46" x14ac:dyDescent="0.25">
      <c r="C155" s="32"/>
      <c r="F155" t="s">
        <v>191</v>
      </c>
      <c r="G155" t="s">
        <v>519</v>
      </c>
      <c r="H155" s="121">
        <f t="shared" si="74"/>
        <v>0</v>
      </c>
      <c r="J155" s="63"/>
      <c r="K155" s="63"/>
      <c r="L155" s="63"/>
      <c r="M155" s="63"/>
      <c r="N155" s="63"/>
      <c r="O155" s="63"/>
      <c r="P155" s="63"/>
      <c r="Q155" s="63"/>
      <c r="R155" s="63"/>
      <c r="S155" s="63"/>
      <c r="T155" s="63"/>
      <c r="U155" s="63"/>
      <c r="V155" s="63"/>
      <c r="W155" s="63"/>
      <c r="X155" s="63"/>
      <c r="Y155" s="63"/>
      <c r="Z155" s="63"/>
      <c r="AA155" s="63"/>
      <c r="AB155" s="63"/>
      <c r="AT155" s="3"/>
    </row>
    <row r="156" spans="3:46" x14ac:dyDescent="0.25">
      <c r="C156" s="32"/>
      <c r="F156" t="s">
        <v>192</v>
      </c>
      <c r="G156" t="s">
        <v>519</v>
      </c>
      <c r="H156" s="121">
        <f t="shared" si="74"/>
        <v>0</v>
      </c>
      <c r="J156" s="63"/>
      <c r="K156" s="63"/>
      <c r="L156" s="63"/>
      <c r="M156" s="63"/>
      <c r="N156" s="63"/>
      <c r="O156" s="63"/>
      <c r="P156" s="63"/>
      <c r="Q156" s="63"/>
      <c r="R156" s="63"/>
      <c r="S156" s="63"/>
      <c r="T156" s="63"/>
      <c r="U156" s="63"/>
      <c r="V156" s="63"/>
      <c r="W156" s="63"/>
      <c r="X156" s="63"/>
      <c r="Y156" s="63"/>
      <c r="Z156" s="63"/>
      <c r="AA156" s="63"/>
      <c r="AB156" s="63"/>
      <c r="AT156" s="3"/>
    </row>
    <row r="157" spans="3:46" x14ac:dyDescent="0.25">
      <c r="C157" s="32"/>
      <c r="F157" t="s">
        <v>193</v>
      </c>
      <c r="G157" t="s">
        <v>519</v>
      </c>
      <c r="H157" s="121">
        <f t="shared" si="74"/>
        <v>2755977.4662967776</v>
      </c>
      <c r="J157" s="63"/>
      <c r="K157" s="63"/>
      <c r="L157" s="63"/>
      <c r="M157" s="63"/>
      <c r="N157" s="63"/>
      <c r="O157" s="63"/>
      <c r="P157" s="63"/>
      <c r="Q157" s="63"/>
      <c r="R157" s="63"/>
      <c r="S157" s="63"/>
      <c r="T157" s="63"/>
      <c r="U157" s="63"/>
      <c r="V157" s="63"/>
      <c r="W157" s="63"/>
      <c r="X157" s="63"/>
      <c r="Y157" s="63"/>
      <c r="Z157" s="63"/>
      <c r="AA157" s="63"/>
      <c r="AB157" s="63"/>
      <c r="AT157" s="3"/>
    </row>
    <row r="158" spans="3:46" x14ac:dyDescent="0.25">
      <c r="C158" s="32"/>
      <c r="F158" t="s">
        <v>194</v>
      </c>
      <c r="G158" t="s">
        <v>519</v>
      </c>
      <c r="H158" s="121">
        <f t="shared" si="74"/>
        <v>2716534.0743885324</v>
      </c>
      <c r="J158" s="63"/>
      <c r="K158" s="63"/>
      <c r="L158" s="63"/>
      <c r="M158" s="63"/>
      <c r="N158" s="63"/>
      <c r="O158" s="63"/>
      <c r="P158" s="63"/>
      <c r="Q158" s="63"/>
      <c r="R158" s="63"/>
      <c r="S158" s="63"/>
      <c r="T158" s="63"/>
      <c r="U158" s="63"/>
      <c r="V158" s="63"/>
      <c r="W158" s="63"/>
      <c r="X158" s="63"/>
      <c r="Y158" s="63"/>
      <c r="Z158" s="63"/>
      <c r="AA158" s="63"/>
      <c r="AB158" s="63"/>
      <c r="AT158" s="3"/>
    </row>
    <row r="159" spans="3:46" x14ac:dyDescent="0.25">
      <c r="C159" s="32"/>
      <c r="F159" t="s">
        <v>195</v>
      </c>
      <c r="G159" t="s">
        <v>519</v>
      </c>
      <c r="H159" s="121">
        <f t="shared" si="74"/>
        <v>0</v>
      </c>
      <c r="J159" s="63"/>
      <c r="K159" s="63"/>
      <c r="L159" s="63"/>
      <c r="M159" s="63"/>
      <c r="N159" s="63"/>
      <c r="O159" s="63"/>
      <c r="P159" s="63"/>
      <c r="Q159" s="63"/>
      <c r="R159" s="63"/>
      <c r="S159" s="63"/>
      <c r="T159" s="63"/>
      <c r="U159" s="63"/>
      <c r="V159" s="63"/>
      <c r="W159" s="63"/>
      <c r="X159" s="63"/>
      <c r="Y159" s="63"/>
      <c r="Z159" s="63"/>
      <c r="AA159" s="63"/>
      <c r="AB159" s="63"/>
      <c r="AT159" s="3"/>
    </row>
    <row r="160" spans="3:46" x14ac:dyDescent="0.25">
      <c r="C160" s="32"/>
      <c r="F160" t="s">
        <v>196</v>
      </c>
      <c r="G160" t="s">
        <v>519</v>
      </c>
      <c r="H160" s="121">
        <f t="shared" si="74"/>
        <v>2823696.8087717858</v>
      </c>
      <c r="J160" s="63"/>
      <c r="K160" s="63"/>
      <c r="L160" s="63"/>
      <c r="M160" s="63"/>
      <c r="N160" s="63"/>
      <c r="O160" s="63"/>
      <c r="P160" s="63"/>
      <c r="Q160" s="63"/>
      <c r="R160" s="63"/>
      <c r="S160" s="63"/>
      <c r="T160" s="63"/>
      <c r="U160" s="63"/>
      <c r="V160" s="63"/>
      <c r="W160" s="63"/>
      <c r="X160" s="63"/>
      <c r="Y160" s="63"/>
      <c r="Z160" s="63"/>
      <c r="AA160" s="63"/>
      <c r="AB160" s="63"/>
      <c r="AT160" s="3"/>
    </row>
    <row r="161" spans="3:46" x14ac:dyDescent="0.25">
      <c r="C161" s="32"/>
      <c r="F161" t="s">
        <v>197</v>
      </c>
      <c r="G161" t="s">
        <v>519</v>
      </c>
      <c r="H161" s="121">
        <f t="shared" si="74"/>
        <v>2320139.2369534275</v>
      </c>
      <c r="J161" s="63"/>
      <c r="K161" s="63"/>
      <c r="L161" s="63"/>
      <c r="M161" s="63"/>
      <c r="N161" s="63"/>
      <c r="O161" s="63"/>
      <c r="P161" s="63"/>
      <c r="Q161" s="63"/>
      <c r="R161" s="63"/>
      <c r="S161" s="63"/>
      <c r="T161" s="63"/>
      <c r="U161" s="63"/>
      <c r="V161" s="63"/>
      <c r="W161" s="63"/>
      <c r="X161" s="63"/>
      <c r="Y161" s="63"/>
      <c r="Z161" s="63"/>
      <c r="AA161" s="63"/>
      <c r="AB161" s="63"/>
      <c r="AT161" s="3"/>
    </row>
    <row r="162" spans="3:46" x14ac:dyDescent="0.25">
      <c r="C162" s="32"/>
      <c r="F162" s="37" t="s">
        <v>198</v>
      </c>
      <c r="G162" s="37" t="s">
        <v>519</v>
      </c>
      <c r="H162" s="131">
        <f t="shared" si="74"/>
        <v>2183472.6847074195</v>
      </c>
      <c r="J162" s="63"/>
      <c r="K162" s="63"/>
      <c r="L162" s="63"/>
      <c r="M162" s="63"/>
      <c r="N162" s="63"/>
      <c r="O162" s="63"/>
      <c r="P162" s="63"/>
      <c r="Q162" s="63"/>
      <c r="R162" s="63"/>
      <c r="S162" s="63"/>
      <c r="T162" s="63"/>
      <c r="U162" s="63"/>
      <c r="V162" s="63"/>
      <c r="W162" s="63"/>
      <c r="X162" s="63"/>
      <c r="Y162" s="63"/>
      <c r="Z162" s="63"/>
      <c r="AA162" s="63"/>
      <c r="AB162" s="63"/>
      <c r="AT162" s="3"/>
    </row>
    <row r="163" spans="3:46" x14ac:dyDescent="0.25">
      <c r="C163" s="32"/>
      <c r="J163" s="63"/>
      <c r="K163" s="63"/>
      <c r="L163" s="63"/>
      <c r="M163" s="63"/>
      <c r="N163" s="63"/>
      <c r="O163" s="63"/>
      <c r="P163" s="63"/>
      <c r="Q163" s="63"/>
      <c r="R163" s="63"/>
      <c r="S163" s="63"/>
      <c r="T163" s="63"/>
      <c r="U163" s="63"/>
      <c r="V163" s="63"/>
      <c r="W163" s="63"/>
      <c r="X163" s="63"/>
      <c r="Y163" s="63"/>
      <c r="Z163" s="63"/>
      <c r="AA163" s="63"/>
      <c r="AB163" s="63"/>
      <c r="AT163" s="3"/>
    </row>
    <row r="164" spans="3:46" x14ac:dyDescent="0.25">
      <c r="C164" s="31" t="str">
        <f ca="1">INDEX('Version control'!$H$34:$H$57,MATCH($A$1,'Version control'!$F$34:$F$57,0),1)&amp;"-D: Unit rate contributions to chargeable peak load"</f>
        <v>Section 106-D: Unit rate contributions to chargeable peak load</v>
      </c>
      <c r="D164" s="31"/>
      <c r="E164" s="31"/>
      <c r="F164" s="31"/>
      <c r="G164" s="31"/>
      <c r="H164" s="31"/>
      <c r="I164" s="31"/>
      <c r="J164" s="31"/>
      <c r="K164" s="31"/>
      <c r="L164" s="31"/>
      <c r="M164" s="31"/>
      <c r="N164" s="31"/>
      <c r="O164" s="31"/>
      <c r="P164" s="31"/>
      <c r="Q164" s="31"/>
      <c r="R164" s="31"/>
      <c r="S164" s="31"/>
      <c r="T164" s="31"/>
      <c r="U164" s="31"/>
      <c r="V164" s="31"/>
      <c r="W164" s="31"/>
      <c r="X164" s="31"/>
      <c r="Y164" s="31"/>
      <c r="Z164" s="31"/>
      <c r="AA164" s="31"/>
      <c r="AB164" s="31"/>
      <c r="AC164" s="31"/>
      <c r="AD164" s="31"/>
      <c r="AT164" s="3"/>
    </row>
    <row r="165" spans="3:46" x14ac:dyDescent="0.25">
      <c r="H165" s="63"/>
      <c r="J165" s="63"/>
      <c r="K165" s="63"/>
      <c r="L165" s="63"/>
      <c r="M165" s="63"/>
      <c r="N165" s="63"/>
      <c r="O165" s="63"/>
      <c r="P165" s="63"/>
      <c r="Q165" s="63"/>
      <c r="R165" s="63"/>
      <c r="S165" s="63"/>
      <c r="T165" s="63"/>
      <c r="U165" s="63"/>
      <c r="V165" s="63"/>
      <c r="W165" s="63"/>
      <c r="X165" s="63"/>
      <c r="Y165" s="63"/>
      <c r="Z165" s="63"/>
      <c r="AA165" s="63"/>
      <c r="AB165" s="63"/>
    </row>
    <row r="166" spans="3:46" x14ac:dyDescent="0.25">
      <c r="E166" s="32" t="s">
        <v>520</v>
      </c>
      <c r="H166" s="63"/>
      <c r="J166" s="63"/>
      <c r="K166" s="63"/>
      <c r="L166" s="63"/>
      <c r="M166" s="63"/>
      <c r="N166" s="63"/>
      <c r="O166" s="63"/>
      <c r="P166" s="63"/>
      <c r="Q166" s="63"/>
      <c r="R166" s="63"/>
      <c r="S166" s="63"/>
      <c r="T166" s="63"/>
      <c r="U166" s="63"/>
      <c r="V166" s="63"/>
      <c r="W166" s="63"/>
      <c r="X166" s="63"/>
      <c r="Y166" s="63"/>
      <c r="Z166" s="63"/>
      <c r="AA166" s="63"/>
      <c r="AB166" s="63"/>
    </row>
    <row r="167" spans="3:46" x14ac:dyDescent="0.25">
      <c r="E167" s="29" t="s">
        <v>521</v>
      </c>
      <c r="F167" s="29"/>
      <c r="J167" s="63"/>
      <c r="K167" s="63"/>
      <c r="L167" s="63"/>
      <c r="M167" s="63"/>
      <c r="N167" s="63"/>
      <c r="O167" s="63"/>
      <c r="P167" s="63"/>
      <c r="Q167" s="63"/>
      <c r="R167" s="63"/>
      <c r="S167" s="63"/>
      <c r="T167" s="63"/>
      <c r="U167" s="63"/>
      <c r="V167" s="63"/>
      <c r="W167" s="63"/>
      <c r="X167" s="63"/>
      <c r="Y167" s="63"/>
      <c r="Z167" s="63"/>
      <c r="AA167" s="63"/>
      <c r="AB167" s="63"/>
      <c r="AT167" s="3"/>
    </row>
    <row r="168" spans="3:46" x14ac:dyDescent="0.25">
      <c r="C168" s="32"/>
      <c r="F168" s="23" t="s">
        <v>190</v>
      </c>
      <c r="G168" s="23" t="s">
        <v>171</v>
      </c>
      <c r="H168" s="129"/>
      <c r="I168" s="23"/>
      <c r="J168" s="158">
        <f t="shared" ref="J168:AB168" si="75">J142 * (1 - J23)</f>
        <v>1386.4713030543721</v>
      </c>
      <c r="K168" s="158">
        <f t="shared" si="75"/>
        <v>5.1559980267560368</v>
      </c>
      <c r="L168" s="158">
        <f t="shared" si="75"/>
        <v>456.91138811350123</v>
      </c>
      <c r="M168" s="158">
        <f t="shared" si="75"/>
        <v>10.519747246525604</v>
      </c>
      <c r="N168" s="158">
        <f t="shared" si="75"/>
        <v>508.24426379200531</v>
      </c>
      <c r="O168" s="158">
        <f t="shared" si="75"/>
        <v>33.512184297916328</v>
      </c>
      <c r="P168" s="158">
        <f t="shared" si="75"/>
        <v>473.35255653173618</v>
      </c>
      <c r="Q168" s="158">
        <f t="shared" ref="Q168:S168" si="76">Q142 * (1 - Q23)</f>
        <v>0</v>
      </c>
      <c r="R168" s="158">
        <f t="shared" si="76"/>
        <v>0</v>
      </c>
      <c r="S168" s="158">
        <f t="shared" si="76"/>
        <v>0</v>
      </c>
      <c r="T168" s="158">
        <f t="shared" si="75"/>
        <v>49.020815047446781</v>
      </c>
      <c r="U168" s="158">
        <f t="shared" si="75"/>
        <v>-0.19766654104724962</v>
      </c>
      <c r="V168" s="158">
        <f t="shared" si="75"/>
        <v>-3.780660295578114E-3</v>
      </c>
      <c r="W168" s="158">
        <f t="shared" si="75"/>
        <v>-8.6550262997882239</v>
      </c>
      <c r="X168" s="158">
        <f t="shared" si="75"/>
        <v>0</v>
      </c>
      <c r="Y168" s="158">
        <f t="shared" si="75"/>
        <v>-0.19011168964667813</v>
      </c>
      <c r="Z168" s="158">
        <f t="shared" si="75"/>
        <v>0</v>
      </c>
      <c r="AA168" s="158">
        <f t="shared" si="75"/>
        <v>-147.1402947575167</v>
      </c>
      <c r="AB168" s="158">
        <f t="shared" si="75"/>
        <v>0</v>
      </c>
      <c r="AT168" s="3"/>
    </row>
    <row r="169" spans="3:46" x14ac:dyDescent="0.25">
      <c r="C169" s="32"/>
      <c r="F169" t="s">
        <v>191</v>
      </c>
      <c r="G169" t="s">
        <v>171</v>
      </c>
      <c r="H169" s="63"/>
      <c r="J169" s="89">
        <f t="shared" ref="J169:AB169" si="77">J143 * (1 - J24)</f>
        <v>0</v>
      </c>
      <c r="K169" s="89">
        <f t="shared" si="77"/>
        <v>0</v>
      </c>
      <c r="L169" s="89">
        <f t="shared" si="77"/>
        <v>0</v>
      </c>
      <c r="M169" s="89">
        <f t="shared" si="77"/>
        <v>0</v>
      </c>
      <c r="N169" s="89">
        <f t="shared" si="77"/>
        <v>0</v>
      </c>
      <c r="O169" s="89">
        <f t="shared" si="77"/>
        <v>0</v>
      </c>
      <c r="P169" s="89">
        <f t="shared" si="77"/>
        <v>0</v>
      </c>
      <c r="Q169" s="89">
        <f t="shared" ref="Q169:S169" si="78">Q143 * (1 - Q24)</f>
        <v>0</v>
      </c>
      <c r="R169" s="89">
        <f t="shared" si="78"/>
        <v>0</v>
      </c>
      <c r="S169" s="89">
        <f t="shared" si="78"/>
        <v>0</v>
      </c>
      <c r="T169" s="89">
        <f t="shared" si="77"/>
        <v>0</v>
      </c>
      <c r="U169" s="89">
        <f t="shared" si="77"/>
        <v>0</v>
      </c>
      <c r="V169" s="89">
        <f t="shared" si="77"/>
        <v>0</v>
      </c>
      <c r="W169" s="89">
        <f t="shared" si="77"/>
        <v>0</v>
      </c>
      <c r="X169" s="89">
        <f t="shared" si="77"/>
        <v>0</v>
      </c>
      <c r="Y169" s="89">
        <f t="shared" si="77"/>
        <v>0</v>
      </c>
      <c r="Z169" s="89">
        <f t="shared" si="77"/>
        <v>0</v>
      </c>
      <c r="AA169" s="89">
        <f t="shared" si="77"/>
        <v>0</v>
      </c>
      <c r="AB169" s="89">
        <f t="shared" si="77"/>
        <v>0</v>
      </c>
      <c r="AT169" s="3"/>
    </row>
    <row r="170" spans="3:46" x14ac:dyDescent="0.25">
      <c r="C170" s="32"/>
      <c r="F170" t="s">
        <v>192</v>
      </c>
      <c r="G170" t="s">
        <v>171</v>
      </c>
      <c r="H170" s="63"/>
      <c r="J170" s="89">
        <f t="shared" ref="J170:AB170" si="79">J144 * (1 - J25)</f>
        <v>0</v>
      </c>
      <c r="K170" s="89">
        <f t="shared" si="79"/>
        <v>0</v>
      </c>
      <c r="L170" s="89">
        <f t="shared" si="79"/>
        <v>0</v>
      </c>
      <c r="M170" s="89">
        <f t="shared" si="79"/>
        <v>0</v>
      </c>
      <c r="N170" s="89">
        <f t="shared" si="79"/>
        <v>0</v>
      </c>
      <c r="O170" s="89">
        <f t="shared" si="79"/>
        <v>0</v>
      </c>
      <c r="P170" s="89">
        <f t="shared" si="79"/>
        <v>0</v>
      </c>
      <c r="Q170" s="89">
        <f t="shared" ref="Q170:S170" si="80">Q144 * (1 - Q25)</f>
        <v>0</v>
      </c>
      <c r="R170" s="89">
        <f t="shared" si="80"/>
        <v>0</v>
      </c>
      <c r="S170" s="89">
        <f t="shared" si="80"/>
        <v>0</v>
      </c>
      <c r="T170" s="89">
        <f t="shared" si="79"/>
        <v>0</v>
      </c>
      <c r="U170" s="89">
        <f t="shared" si="79"/>
        <v>0</v>
      </c>
      <c r="V170" s="89">
        <f t="shared" si="79"/>
        <v>0</v>
      </c>
      <c r="W170" s="89">
        <f t="shared" si="79"/>
        <v>0</v>
      </c>
      <c r="X170" s="89">
        <f t="shared" si="79"/>
        <v>0</v>
      </c>
      <c r="Y170" s="89">
        <f t="shared" si="79"/>
        <v>0</v>
      </c>
      <c r="Z170" s="89">
        <f t="shared" si="79"/>
        <v>0</v>
      </c>
      <c r="AA170" s="89">
        <f t="shared" si="79"/>
        <v>0</v>
      </c>
      <c r="AB170" s="89">
        <f t="shared" si="79"/>
        <v>0</v>
      </c>
      <c r="AT170" s="3"/>
    </row>
    <row r="171" spans="3:46" x14ac:dyDescent="0.25">
      <c r="C171" s="32"/>
      <c r="F171" t="s">
        <v>193</v>
      </c>
      <c r="G171" t="s">
        <v>171</v>
      </c>
      <c r="H171" s="63"/>
      <c r="J171" s="89">
        <f t="shared" ref="J171:AB171" si="81">J145 * (1 - J26)</f>
        <v>1380.9475130023627</v>
      </c>
      <c r="K171" s="89">
        <f t="shared" si="81"/>
        <v>5.1354562019482444</v>
      </c>
      <c r="L171" s="89">
        <f t="shared" si="81"/>
        <v>455.09102401743155</v>
      </c>
      <c r="M171" s="89">
        <f t="shared" si="81"/>
        <v>10.477835902913949</v>
      </c>
      <c r="N171" s="89">
        <f t="shared" si="81"/>
        <v>506.21938624701716</v>
      </c>
      <c r="O171" s="89">
        <f t="shared" si="81"/>
        <v>33.378669619438575</v>
      </c>
      <c r="P171" s="89">
        <f t="shared" si="81"/>
        <v>377.17335181811654</v>
      </c>
      <c r="Q171" s="89">
        <f t="shared" ref="Q171:S171" si="82">Q145 * (1 - Q26)</f>
        <v>0</v>
      </c>
      <c r="R171" s="89">
        <f t="shared" si="82"/>
        <v>0</v>
      </c>
      <c r="S171" s="89">
        <f t="shared" si="82"/>
        <v>0</v>
      </c>
      <c r="T171" s="89">
        <f t="shared" si="81"/>
        <v>48.825512995464919</v>
      </c>
      <c r="U171" s="89">
        <f t="shared" si="81"/>
        <v>-0.19687902494745976</v>
      </c>
      <c r="V171" s="89">
        <f t="shared" si="81"/>
        <v>-3.7655979039622647E-3</v>
      </c>
      <c r="W171" s="89">
        <f t="shared" si="81"/>
        <v>-8.6205441232950459</v>
      </c>
      <c r="X171" s="89">
        <f t="shared" si="81"/>
        <v>0</v>
      </c>
      <c r="Y171" s="89">
        <f t="shared" si="81"/>
        <v>-0.18935427255645229</v>
      </c>
      <c r="Z171" s="89">
        <f t="shared" si="81"/>
        <v>0</v>
      </c>
      <c r="AA171" s="89">
        <f t="shared" si="81"/>
        <v>-146.5540784437417</v>
      </c>
      <c r="AB171" s="89">
        <f t="shared" si="81"/>
        <v>0</v>
      </c>
      <c r="AT171" s="3"/>
    </row>
    <row r="172" spans="3:46" x14ac:dyDescent="0.25">
      <c r="C172" s="32"/>
      <c r="F172" t="s">
        <v>194</v>
      </c>
      <c r="G172" t="s">
        <v>171</v>
      </c>
      <c r="H172" s="63"/>
      <c r="J172" s="89">
        <f t="shared" ref="J172:AB172" si="83">J146 * (1 - J27)</f>
        <v>1340.6027834875406</v>
      </c>
      <c r="K172" s="89">
        <f t="shared" si="83"/>
        <v>6.5292680001366268</v>
      </c>
      <c r="L172" s="89">
        <f t="shared" si="83"/>
        <v>458.96847224010537</v>
      </c>
      <c r="M172" s="89">
        <f t="shared" si="83"/>
        <v>10.790897115397559</v>
      </c>
      <c r="N172" s="89">
        <f t="shared" si="83"/>
        <v>504.21711042252076</v>
      </c>
      <c r="O172" s="89">
        <f t="shared" si="83"/>
        <v>33.202385739680942</v>
      </c>
      <c r="P172" s="89">
        <f t="shared" si="83"/>
        <v>0</v>
      </c>
      <c r="Q172" s="89">
        <f t="shared" ref="Q172:S172" si="84">Q146 * (1 - Q27)</f>
        <v>0</v>
      </c>
      <c r="R172" s="89">
        <f t="shared" si="84"/>
        <v>0</v>
      </c>
      <c r="S172" s="89">
        <f t="shared" si="84"/>
        <v>0</v>
      </c>
      <c r="T172" s="89">
        <f t="shared" si="83"/>
        <v>45.577557390515508</v>
      </c>
      <c r="U172" s="89">
        <f t="shared" si="83"/>
        <v>-0.19531065209196408</v>
      </c>
      <c r="V172" s="89">
        <f t="shared" si="83"/>
        <v>-3.7132236810808032E-3</v>
      </c>
      <c r="W172" s="89">
        <f t="shared" si="83"/>
        <v>-8.5526273377054132</v>
      </c>
      <c r="X172" s="89">
        <f t="shared" si="83"/>
        <v>0</v>
      </c>
      <c r="Y172" s="89">
        <f t="shared" si="83"/>
        <v>-0.18676271987373558</v>
      </c>
      <c r="Z172" s="89">
        <f t="shared" si="83"/>
        <v>0</v>
      </c>
      <c r="AA172" s="89">
        <f t="shared" si="83"/>
        <v>-143.3997121858535</v>
      </c>
      <c r="AB172" s="89">
        <f t="shared" si="83"/>
        <v>0</v>
      </c>
      <c r="AT172" s="3"/>
    </row>
    <row r="173" spans="3:46" x14ac:dyDescent="0.25">
      <c r="C173" s="32"/>
      <c r="F173" t="s">
        <v>195</v>
      </c>
      <c r="G173" t="s">
        <v>171</v>
      </c>
      <c r="H173" s="63"/>
      <c r="J173" s="89">
        <f t="shared" ref="J173:AB173" si="85">J147 * (1 - J28)</f>
        <v>0</v>
      </c>
      <c r="K173" s="89">
        <f t="shared" si="85"/>
        <v>0</v>
      </c>
      <c r="L173" s="89">
        <f t="shared" si="85"/>
        <v>0</v>
      </c>
      <c r="M173" s="89">
        <f t="shared" si="85"/>
        <v>0</v>
      </c>
      <c r="N173" s="89">
        <f t="shared" si="85"/>
        <v>0</v>
      </c>
      <c r="O173" s="89">
        <f t="shared" si="85"/>
        <v>0</v>
      </c>
      <c r="P173" s="89">
        <f t="shared" si="85"/>
        <v>0</v>
      </c>
      <c r="Q173" s="89">
        <f t="shared" ref="Q173:S173" si="86">Q147 * (1 - Q28)</f>
        <v>0</v>
      </c>
      <c r="R173" s="89">
        <f t="shared" si="86"/>
        <v>0</v>
      </c>
      <c r="S173" s="89">
        <f t="shared" si="86"/>
        <v>0</v>
      </c>
      <c r="T173" s="89">
        <f t="shared" si="85"/>
        <v>0</v>
      </c>
      <c r="U173" s="89">
        <f t="shared" si="85"/>
        <v>0</v>
      </c>
      <c r="V173" s="89">
        <f t="shared" si="85"/>
        <v>0</v>
      </c>
      <c r="W173" s="89">
        <f t="shared" si="85"/>
        <v>0</v>
      </c>
      <c r="X173" s="89">
        <f t="shared" si="85"/>
        <v>0</v>
      </c>
      <c r="Y173" s="89">
        <f t="shared" si="85"/>
        <v>0</v>
      </c>
      <c r="Z173" s="89">
        <f t="shared" si="85"/>
        <v>0</v>
      </c>
      <c r="AA173" s="89">
        <f t="shared" si="85"/>
        <v>0</v>
      </c>
      <c r="AB173" s="89">
        <f t="shared" si="85"/>
        <v>0</v>
      </c>
      <c r="AT173" s="3"/>
    </row>
    <row r="174" spans="3:46" x14ac:dyDescent="0.25">
      <c r="C174" s="32"/>
      <c r="F174" t="s">
        <v>196</v>
      </c>
      <c r="G174" t="s">
        <v>171</v>
      </c>
      <c r="H174" s="63"/>
      <c r="J174" s="89">
        <f t="shared" ref="J174:AB174" si="87">J148 * (1 - J29)</f>
        <v>1323.616588375125</v>
      </c>
      <c r="K174" s="89">
        <f t="shared" si="87"/>
        <v>6.4465384835656936</v>
      </c>
      <c r="L174" s="89">
        <f t="shared" si="87"/>
        <v>453.15308224096168</v>
      </c>
      <c r="M174" s="89">
        <f t="shared" si="87"/>
        <v>10.654170348828194</v>
      </c>
      <c r="N174" s="89">
        <f t="shared" si="87"/>
        <v>398.26271567876302</v>
      </c>
      <c r="O174" s="89">
        <f t="shared" si="87"/>
        <v>0</v>
      </c>
      <c r="P174" s="89">
        <f t="shared" si="87"/>
        <v>0</v>
      </c>
      <c r="Q174" s="89">
        <f t="shared" ref="Q174:S174" si="88">Q148 * (1 - Q29)</f>
        <v>0</v>
      </c>
      <c r="R174" s="89">
        <f t="shared" si="88"/>
        <v>0</v>
      </c>
      <c r="S174" s="89">
        <f t="shared" si="88"/>
        <v>0</v>
      </c>
      <c r="T174" s="89">
        <f t="shared" si="87"/>
        <v>45.00006397328675</v>
      </c>
      <c r="U174" s="89">
        <f t="shared" si="87"/>
        <v>-0.19283595572042844</v>
      </c>
      <c r="V174" s="89">
        <f t="shared" si="87"/>
        <v>-3.6661750379482E-3</v>
      </c>
      <c r="W174" s="89">
        <f t="shared" si="87"/>
        <v>-8.4442607145181121</v>
      </c>
      <c r="X174" s="89">
        <f t="shared" si="87"/>
        <v>0</v>
      </c>
      <c r="Y174" s="89">
        <f t="shared" si="87"/>
        <v>-0.18439633063556929</v>
      </c>
      <c r="Z174" s="89">
        <f t="shared" si="87"/>
        <v>0</v>
      </c>
      <c r="AA174" s="89">
        <f t="shared" si="87"/>
        <v>0</v>
      </c>
      <c r="AB174" s="89">
        <f t="shared" si="87"/>
        <v>0</v>
      </c>
      <c r="AT174" s="3"/>
    </row>
    <row r="175" spans="3:46" x14ac:dyDescent="0.25">
      <c r="C175" s="32"/>
      <c r="F175" t="s">
        <v>197</v>
      </c>
      <c r="G175" t="s">
        <v>171</v>
      </c>
      <c r="H175" s="63"/>
      <c r="J175" s="89">
        <f t="shared" ref="J175:AB175" si="89">J149 * (1 - J30)</f>
        <v>1300.7956127134848</v>
      </c>
      <c r="K175" s="89">
        <f t="shared" si="89"/>
        <v>6.3353912683318026</v>
      </c>
      <c r="L175" s="89">
        <f t="shared" si="89"/>
        <v>445.34009806439332</v>
      </c>
      <c r="M175" s="89">
        <f t="shared" si="89"/>
        <v>10.470477756607018</v>
      </c>
      <c r="N175" s="89">
        <f t="shared" si="89"/>
        <v>0</v>
      </c>
      <c r="O175" s="89">
        <f t="shared" si="89"/>
        <v>0</v>
      </c>
      <c r="P175" s="89">
        <f t="shared" si="89"/>
        <v>0</v>
      </c>
      <c r="Q175" s="89">
        <f t="shared" ref="Q175:S175" si="90">Q149 * (1 - Q30)</f>
        <v>0</v>
      </c>
      <c r="R175" s="89">
        <f t="shared" si="90"/>
        <v>0</v>
      </c>
      <c r="S175" s="89">
        <f t="shared" si="90"/>
        <v>0</v>
      </c>
      <c r="T175" s="89">
        <f t="shared" si="89"/>
        <v>44.224200801333524</v>
      </c>
      <c r="U175" s="89">
        <f t="shared" si="89"/>
        <v>-0.18951119786317966</v>
      </c>
      <c r="V175" s="89">
        <f t="shared" si="89"/>
        <v>0</v>
      </c>
      <c r="W175" s="89">
        <f t="shared" si="89"/>
        <v>-8.2986700125436617</v>
      </c>
      <c r="X175" s="89">
        <f t="shared" si="89"/>
        <v>0</v>
      </c>
      <c r="Y175" s="89">
        <f t="shared" si="89"/>
        <v>0</v>
      </c>
      <c r="Z175" s="89">
        <f t="shared" si="89"/>
        <v>0</v>
      </c>
      <c r="AA175" s="89">
        <f t="shared" si="89"/>
        <v>0</v>
      </c>
      <c r="AB175" s="89">
        <f t="shared" si="89"/>
        <v>0</v>
      </c>
      <c r="AT175" s="3"/>
    </row>
    <row r="176" spans="3:46" x14ac:dyDescent="0.25">
      <c r="C176" s="32"/>
      <c r="F176" s="37" t="s">
        <v>198</v>
      </c>
      <c r="G176" s="37" t="s">
        <v>171</v>
      </c>
      <c r="H176" s="130"/>
      <c r="I176" s="37"/>
      <c r="J176" s="82">
        <f t="shared" ref="J176:AB176" si="91">J150 * (1 - J31)</f>
        <v>0</v>
      </c>
      <c r="K176" s="82">
        <f t="shared" si="91"/>
        <v>0</v>
      </c>
      <c r="L176" s="82">
        <f t="shared" si="91"/>
        <v>0</v>
      </c>
      <c r="M176" s="82">
        <f t="shared" si="91"/>
        <v>0</v>
      </c>
      <c r="N176" s="82">
        <f t="shared" si="91"/>
        <v>0</v>
      </c>
      <c r="O176" s="82">
        <f t="shared" si="91"/>
        <v>0</v>
      </c>
      <c r="P176" s="82">
        <f t="shared" si="91"/>
        <v>0</v>
      </c>
      <c r="Q176" s="82">
        <f t="shared" ref="Q176:S176" si="92">Q150 * (1 - Q31)</f>
        <v>0</v>
      </c>
      <c r="R176" s="82">
        <f t="shared" si="92"/>
        <v>0</v>
      </c>
      <c r="S176" s="82">
        <f t="shared" si="92"/>
        <v>0</v>
      </c>
      <c r="T176" s="82">
        <f t="shared" si="91"/>
        <v>42.049240106185977</v>
      </c>
      <c r="U176" s="82">
        <f t="shared" si="91"/>
        <v>0</v>
      </c>
      <c r="V176" s="82">
        <f t="shared" si="91"/>
        <v>0</v>
      </c>
      <c r="W176" s="82">
        <f t="shared" si="91"/>
        <v>0</v>
      </c>
      <c r="X176" s="82">
        <f t="shared" si="91"/>
        <v>0</v>
      </c>
      <c r="Y176" s="82">
        <f t="shared" si="91"/>
        <v>0</v>
      </c>
      <c r="Z176" s="82">
        <f t="shared" si="91"/>
        <v>0</v>
      </c>
      <c r="AA176" s="82">
        <f t="shared" si="91"/>
        <v>0</v>
      </c>
      <c r="AB176" s="82">
        <f t="shared" si="91"/>
        <v>0</v>
      </c>
      <c r="AT176" s="3"/>
    </row>
    <row r="177" spans="2:46" x14ac:dyDescent="0.25">
      <c r="C177" s="32"/>
      <c r="F177" s="108" t="s">
        <v>99</v>
      </c>
      <c r="G177" s="108" t="s">
        <v>171</v>
      </c>
      <c r="H177" s="168"/>
      <c r="I177" s="108"/>
      <c r="J177" s="167">
        <f t="shared" ref="J177:AB177" si="93">SUM(J168:J176)</f>
        <v>6732.4338006328844</v>
      </c>
      <c r="K177" s="167">
        <f t="shared" si="93"/>
        <v>29.602651980738401</v>
      </c>
      <c r="L177" s="167">
        <f t="shared" si="93"/>
        <v>2269.4640646763933</v>
      </c>
      <c r="M177" s="167">
        <f t="shared" si="93"/>
        <v>52.913128370272325</v>
      </c>
      <c r="N177" s="167">
        <f t="shared" si="93"/>
        <v>1916.9434761403063</v>
      </c>
      <c r="O177" s="167">
        <f t="shared" si="93"/>
        <v>100.09323965703584</v>
      </c>
      <c r="P177" s="167">
        <f t="shared" si="93"/>
        <v>850.52590834985267</v>
      </c>
      <c r="Q177" s="167">
        <f t="shared" ref="Q177:S177" si="94">SUM(Q168:Q176)</f>
        <v>0</v>
      </c>
      <c r="R177" s="167">
        <f t="shared" si="94"/>
        <v>0</v>
      </c>
      <c r="S177" s="167">
        <f t="shared" si="94"/>
        <v>0</v>
      </c>
      <c r="T177" s="167">
        <f t="shared" si="93"/>
        <v>274.69739031423342</v>
      </c>
      <c r="U177" s="167">
        <f t="shared" si="93"/>
        <v>-0.97220337167028159</v>
      </c>
      <c r="V177" s="167">
        <f t="shared" si="93"/>
        <v>-1.4925656918569383E-2</v>
      </c>
      <c r="W177" s="167">
        <f t="shared" si="93"/>
        <v>-42.571128487850451</v>
      </c>
      <c r="X177" s="167">
        <f t="shared" si="93"/>
        <v>0</v>
      </c>
      <c r="Y177" s="167">
        <f t="shared" si="93"/>
        <v>-0.75062501271243531</v>
      </c>
      <c r="Z177" s="167">
        <f t="shared" si="93"/>
        <v>0</v>
      </c>
      <c r="AA177" s="167">
        <f t="shared" si="93"/>
        <v>-437.09408538711187</v>
      </c>
      <c r="AB177" s="167">
        <f t="shared" si="93"/>
        <v>0</v>
      </c>
      <c r="AT177" s="3"/>
    </row>
    <row r="178" spans="2:46" x14ac:dyDescent="0.25">
      <c r="H178" s="166"/>
    </row>
    <row r="179" spans="2:46" x14ac:dyDescent="0.25">
      <c r="B179" s="30" t="s">
        <v>522</v>
      </c>
      <c r="C179" s="30"/>
      <c r="D179" s="30"/>
      <c r="E179" s="30"/>
      <c r="F179" s="30"/>
      <c r="G179" s="30"/>
      <c r="H179" s="30"/>
      <c r="I179" s="30"/>
      <c r="J179" s="133"/>
      <c r="K179" s="133"/>
      <c r="L179" s="133"/>
      <c r="M179" s="133"/>
      <c r="N179" s="133"/>
      <c r="O179" s="133"/>
      <c r="P179" s="133"/>
      <c r="Q179" s="133"/>
      <c r="R179" s="133"/>
      <c r="S179" s="133"/>
      <c r="T179" s="133"/>
      <c r="U179" s="133"/>
      <c r="V179" s="133"/>
      <c r="W179" s="133"/>
      <c r="X179" s="133"/>
      <c r="Y179" s="133"/>
      <c r="Z179" s="133"/>
      <c r="AA179" s="133"/>
      <c r="AB179" s="133"/>
      <c r="AC179" s="30"/>
      <c r="AD179" s="30"/>
      <c r="AT179" s="3"/>
    </row>
    <row r="180" spans="2:46" x14ac:dyDescent="0.25">
      <c r="C180" s="32"/>
      <c r="J180" s="63"/>
      <c r="K180" s="63"/>
      <c r="L180" s="63"/>
      <c r="M180" s="63"/>
      <c r="N180" s="63"/>
      <c r="O180" s="63"/>
      <c r="P180" s="63"/>
      <c r="Q180" s="63"/>
      <c r="R180" s="63"/>
      <c r="S180" s="63"/>
      <c r="T180" s="63"/>
      <c r="U180" s="63"/>
      <c r="V180" s="63"/>
      <c r="W180" s="63"/>
      <c r="X180" s="63"/>
      <c r="Y180" s="63"/>
      <c r="Z180" s="63"/>
      <c r="AA180" s="63"/>
      <c r="AB180" s="63"/>
      <c r="AT180" s="3"/>
    </row>
    <row r="181" spans="2:46" x14ac:dyDescent="0.25">
      <c r="C181" s="29" t="s">
        <v>523</v>
      </c>
      <c r="J181" s="63"/>
      <c r="K181" s="63"/>
      <c r="L181" s="63"/>
      <c r="M181" s="63"/>
      <c r="N181" s="63"/>
      <c r="O181" s="63"/>
      <c r="P181" s="63"/>
      <c r="Q181" s="63"/>
      <c r="R181" s="63"/>
      <c r="S181" s="63"/>
      <c r="T181" s="63"/>
      <c r="U181" s="63"/>
      <c r="V181" s="63"/>
      <c r="W181" s="63"/>
      <c r="X181" s="63"/>
      <c r="Y181" s="63"/>
      <c r="Z181" s="63"/>
      <c r="AA181" s="63"/>
      <c r="AB181" s="63"/>
      <c r="AT181" s="3"/>
    </row>
    <row r="182" spans="2:46" x14ac:dyDescent="0.25">
      <c r="C182" s="29" t="s">
        <v>524</v>
      </c>
      <c r="J182" s="63"/>
      <c r="K182" s="63"/>
      <c r="L182" s="63"/>
      <c r="M182" s="63"/>
      <c r="N182" s="63"/>
      <c r="O182" s="63"/>
      <c r="P182" s="63"/>
      <c r="Q182" s="63"/>
      <c r="R182" s="63"/>
      <c r="S182" s="63"/>
      <c r="T182" s="63"/>
      <c r="U182" s="63"/>
      <c r="V182" s="63"/>
      <c r="W182" s="63"/>
      <c r="X182" s="63"/>
      <c r="Y182" s="63"/>
      <c r="Z182" s="63"/>
      <c r="AA182" s="63"/>
      <c r="AB182" s="63"/>
      <c r="AT182" s="3"/>
    </row>
    <row r="183" spans="2:46" x14ac:dyDescent="0.25">
      <c r="C183" s="32"/>
      <c r="J183" s="63"/>
      <c r="K183" s="63"/>
      <c r="L183" s="63"/>
      <c r="M183" s="63"/>
      <c r="N183" s="63"/>
      <c r="O183" s="63"/>
      <c r="P183" s="63"/>
      <c r="Q183" s="63"/>
      <c r="R183" s="63"/>
      <c r="S183" s="63"/>
      <c r="T183" s="63"/>
      <c r="U183" s="63"/>
      <c r="V183" s="63"/>
      <c r="W183" s="63"/>
      <c r="X183" s="63"/>
      <c r="Y183" s="63"/>
      <c r="Z183" s="63"/>
      <c r="AA183" s="63"/>
      <c r="AB183" s="63"/>
      <c r="AT183" s="3"/>
    </row>
    <row r="184" spans="2:46" x14ac:dyDescent="0.25">
      <c r="C184" s="31" t="str">
        <f ca="1">INDEX('Version control'!$H$34:$H$57,MATCH($A$1,'Version control'!$F$34:$F$57,0),1)&amp;"-E: Adjustment of import and exceeded capacity"</f>
        <v>Section 106-E: Adjustment of import and exceeded capacity</v>
      </c>
      <c r="D184" s="31"/>
      <c r="E184" s="31"/>
      <c r="F184" s="31"/>
      <c r="G184" s="31"/>
      <c r="H184" s="31"/>
      <c r="I184" s="31"/>
      <c r="J184" s="31"/>
      <c r="K184" s="31"/>
      <c r="L184" s="31"/>
      <c r="M184" s="31"/>
      <c r="N184" s="31"/>
      <c r="O184" s="31"/>
      <c r="P184" s="31"/>
      <c r="Q184" s="31"/>
      <c r="R184" s="31"/>
      <c r="S184" s="31"/>
      <c r="T184" s="31"/>
      <c r="U184" s="31"/>
      <c r="V184" s="31"/>
      <c r="W184" s="31"/>
      <c r="X184" s="31"/>
      <c r="Y184" s="31"/>
      <c r="Z184" s="31"/>
      <c r="AA184" s="31"/>
      <c r="AB184" s="31"/>
      <c r="AC184" s="31"/>
      <c r="AD184" s="31"/>
      <c r="AT184" s="3"/>
    </row>
    <row r="185" spans="2:46" x14ac:dyDescent="0.25">
      <c r="C185" s="32"/>
      <c r="J185" s="63"/>
      <c r="K185" s="63"/>
      <c r="L185" s="63"/>
      <c r="M185" s="63"/>
      <c r="N185" s="63"/>
      <c r="O185" s="63"/>
      <c r="P185" s="63"/>
      <c r="Q185" s="63"/>
      <c r="R185" s="63"/>
      <c r="S185" s="63"/>
      <c r="T185" s="63"/>
      <c r="U185" s="63"/>
      <c r="V185" s="63"/>
      <c r="W185" s="63"/>
      <c r="X185" s="63"/>
      <c r="Y185" s="63"/>
      <c r="Z185" s="63"/>
      <c r="AA185" s="63"/>
      <c r="AB185" s="63"/>
      <c r="AT185" s="3"/>
    </row>
    <row r="186" spans="2:46" x14ac:dyDescent="0.25">
      <c r="D186" s="29" t="s">
        <v>525</v>
      </c>
      <c r="E186" s="29"/>
      <c r="J186" s="63"/>
      <c r="K186" s="63"/>
      <c r="L186" s="63"/>
      <c r="M186" s="63"/>
      <c r="N186" s="63"/>
      <c r="O186" s="63"/>
      <c r="P186" s="63"/>
      <c r="Q186" s="63"/>
      <c r="R186" s="63"/>
      <c r="S186" s="63"/>
      <c r="T186" s="63"/>
      <c r="U186" s="63"/>
      <c r="V186" s="63"/>
      <c r="W186" s="63"/>
      <c r="X186" s="63"/>
      <c r="Y186" s="63"/>
      <c r="Z186" s="63"/>
      <c r="AA186" s="63"/>
      <c r="AB186" s="63"/>
      <c r="AT186" s="3"/>
    </row>
    <row r="187" spans="2:46" x14ac:dyDescent="0.25">
      <c r="J187" s="63"/>
      <c r="K187" s="63"/>
      <c r="L187" s="63"/>
      <c r="M187" s="63"/>
      <c r="N187" s="63"/>
      <c r="O187" s="63"/>
      <c r="P187" s="63"/>
      <c r="Q187" s="63"/>
      <c r="R187" s="63"/>
      <c r="S187" s="63"/>
      <c r="T187" s="63"/>
      <c r="U187" s="63"/>
      <c r="V187" s="63"/>
      <c r="W187" s="63"/>
      <c r="X187" s="63"/>
      <c r="Y187" s="63"/>
      <c r="Z187" s="63"/>
      <c r="AA187" s="63"/>
      <c r="AB187" s="63"/>
      <c r="AT187" s="3"/>
    </row>
    <row r="188" spans="2:46" x14ac:dyDescent="0.25">
      <c r="C188" s="32"/>
      <c r="E188" t="s">
        <v>249</v>
      </c>
      <c r="G188" t="s">
        <v>250</v>
      </c>
      <c r="J188" s="120">
        <f>'Volume adjustments'!J114</f>
        <v>0</v>
      </c>
      <c r="K188" s="120">
        <f>'Volume adjustments'!K114</f>
        <v>0</v>
      </c>
      <c r="L188" s="120">
        <f>'Volume adjustments'!L114</f>
        <v>0</v>
      </c>
      <c r="M188" s="120">
        <f>'Volume adjustments'!M114</f>
        <v>0</v>
      </c>
      <c r="N188" s="120">
        <f>'Volume adjustments'!N114</f>
        <v>1506481.4576925465</v>
      </c>
      <c r="O188" s="120">
        <f>'Volume adjustments'!O114</f>
        <v>101792.04616244261</v>
      </c>
      <c r="P188" s="120">
        <f>'Volume adjustments'!P114</f>
        <v>1304272.7020126332</v>
      </c>
      <c r="Q188" s="120">
        <f>'Volume adjustments'!Q114</f>
        <v>0</v>
      </c>
      <c r="R188" s="120">
        <f>'Volume adjustments'!R114</f>
        <v>0</v>
      </c>
      <c r="S188" s="120">
        <f>'Volume adjustments'!S114</f>
        <v>0</v>
      </c>
      <c r="T188" s="120">
        <f>'Volume adjustments'!T114</f>
        <v>0</v>
      </c>
      <c r="U188" s="120">
        <f>'Volume adjustments'!U114</f>
        <v>0</v>
      </c>
      <c r="V188" s="120">
        <f>'Volume adjustments'!V114</f>
        <v>0</v>
      </c>
      <c r="W188" s="120">
        <f>'Volume adjustments'!W114</f>
        <v>0</v>
      </c>
      <c r="X188" s="120">
        <f>'Volume adjustments'!X114</f>
        <v>0</v>
      </c>
      <c r="Y188" s="120">
        <f>'Volume adjustments'!Y114</f>
        <v>0</v>
      </c>
      <c r="Z188" s="120">
        <f>'Volume adjustments'!Z114</f>
        <v>0</v>
      </c>
      <c r="AA188" s="120">
        <f>'Volume adjustments'!AA114</f>
        <v>0</v>
      </c>
      <c r="AB188" s="120">
        <f>'Volume adjustments'!AB114</f>
        <v>0</v>
      </c>
      <c r="AT188" s="3"/>
    </row>
    <row r="189" spans="2:46" x14ac:dyDescent="0.25">
      <c r="C189" s="32"/>
      <c r="E189" t="s">
        <v>251</v>
      </c>
      <c r="G189" t="s">
        <v>250</v>
      </c>
      <c r="J189" s="120">
        <f>'Volume adjustments'!J125</f>
        <v>0</v>
      </c>
      <c r="K189" s="120">
        <f>'Volume adjustments'!K125</f>
        <v>0</v>
      </c>
      <c r="L189" s="120">
        <f>'Volume adjustments'!L125</f>
        <v>0</v>
      </c>
      <c r="M189" s="120">
        <f>'Volume adjustments'!M125</f>
        <v>0</v>
      </c>
      <c r="N189" s="120">
        <f>'Volume adjustments'!N125</f>
        <v>29633.952584846371</v>
      </c>
      <c r="O189" s="120">
        <f>'Volume adjustments'!O125</f>
        <v>1042.17</v>
      </c>
      <c r="P189" s="120">
        <f>'Volume adjustments'!P125</f>
        <v>16278.596851006316</v>
      </c>
      <c r="Q189" s="120">
        <f>'Volume adjustments'!Q125</f>
        <v>0</v>
      </c>
      <c r="R189" s="120">
        <f>'Volume adjustments'!R125</f>
        <v>0</v>
      </c>
      <c r="S189" s="120">
        <f>'Volume adjustments'!S125</f>
        <v>0</v>
      </c>
      <c r="T189" s="120">
        <f>'Volume adjustments'!T125</f>
        <v>0</v>
      </c>
      <c r="U189" s="120">
        <f>'Volume adjustments'!U125</f>
        <v>0</v>
      </c>
      <c r="V189" s="120">
        <f>'Volume adjustments'!V125</f>
        <v>0</v>
      </c>
      <c r="W189" s="120">
        <f>'Volume adjustments'!W125</f>
        <v>0</v>
      </c>
      <c r="X189" s="120">
        <f>'Volume adjustments'!X125</f>
        <v>0</v>
      </c>
      <c r="Y189" s="120">
        <f>'Volume adjustments'!Y125</f>
        <v>0</v>
      </c>
      <c r="Z189" s="120">
        <f>'Volume adjustments'!Z125</f>
        <v>0</v>
      </c>
      <c r="AA189" s="120">
        <f>'Volume adjustments'!AA125</f>
        <v>0</v>
      </c>
      <c r="AB189" s="120">
        <f>'Volume adjustments'!AB125</f>
        <v>0</v>
      </c>
      <c r="AT189" s="3"/>
    </row>
    <row r="190" spans="2:46" x14ac:dyDescent="0.25">
      <c r="C190" s="32"/>
      <c r="J190" s="120"/>
      <c r="K190" s="120"/>
      <c r="L190" s="120"/>
      <c r="M190" s="120"/>
      <c r="N190" s="120"/>
      <c r="O190" s="120"/>
      <c r="P190" s="120"/>
      <c r="Q190" s="120"/>
      <c r="R190" s="120"/>
      <c r="S190" s="120"/>
      <c r="T190" s="120"/>
      <c r="U190" s="120"/>
      <c r="V190" s="120"/>
      <c r="W190" s="120"/>
      <c r="X190" s="120"/>
      <c r="Y190" s="120"/>
      <c r="Z190" s="120"/>
      <c r="AA190" s="120"/>
      <c r="AB190" s="120"/>
      <c r="AT190" s="3"/>
    </row>
    <row r="191" spans="2:46" x14ac:dyDescent="0.25">
      <c r="C191" s="32"/>
      <c r="E191" t="s">
        <v>526</v>
      </c>
      <c r="G191" t="s">
        <v>250</v>
      </c>
      <c r="J191" s="89">
        <f t="shared" ref="J191:AB191" si="95">SUM(J188:J189)</f>
        <v>0</v>
      </c>
      <c r="K191" s="89">
        <f t="shared" si="95"/>
        <v>0</v>
      </c>
      <c r="L191" s="89">
        <f t="shared" si="95"/>
        <v>0</v>
      </c>
      <c r="M191" s="89">
        <f t="shared" si="95"/>
        <v>0</v>
      </c>
      <c r="N191" s="89">
        <f t="shared" si="95"/>
        <v>1536115.4102773929</v>
      </c>
      <c r="O191" s="89">
        <f t="shared" si="95"/>
        <v>102834.21616244261</v>
      </c>
      <c r="P191" s="89">
        <f t="shared" si="95"/>
        <v>1320551.2988636396</v>
      </c>
      <c r="Q191" s="89">
        <f t="shared" ref="Q191:S191" si="96">SUM(Q188:Q189)</f>
        <v>0</v>
      </c>
      <c r="R191" s="89">
        <f t="shared" si="96"/>
        <v>0</v>
      </c>
      <c r="S191" s="89">
        <f t="shared" si="96"/>
        <v>0</v>
      </c>
      <c r="T191" s="89">
        <f t="shared" si="95"/>
        <v>0</v>
      </c>
      <c r="U191" s="89">
        <f t="shared" si="95"/>
        <v>0</v>
      </c>
      <c r="V191" s="89">
        <f t="shared" si="95"/>
        <v>0</v>
      </c>
      <c r="W191" s="89">
        <f t="shared" si="95"/>
        <v>0</v>
      </c>
      <c r="X191" s="89">
        <f t="shared" si="95"/>
        <v>0</v>
      </c>
      <c r="Y191" s="89">
        <f t="shared" si="95"/>
        <v>0</v>
      </c>
      <c r="Z191" s="89">
        <f t="shared" si="95"/>
        <v>0</v>
      </c>
      <c r="AA191" s="89">
        <f t="shared" si="95"/>
        <v>0</v>
      </c>
      <c r="AB191" s="89">
        <f t="shared" si="95"/>
        <v>0</v>
      </c>
      <c r="AT191" s="3"/>
    </row>
    <row r="192" spans="2:46" x14ac:dyDescent="0.25">
      <c r="C192" s="32"/>
      <c r="E192" t="s">
        <v>527</v>
      </c>
      <c r="G192" t="s">
        <v>171</v>
      </c>
      <c r="J192" s="89">
        <f t="shared" ref="J192:AB192" si="97">J191 * PowerFactor / thousand</f>
        <v>0</v>
      </c>
      <c r="K192" s="89">
        <f t="shared" si="97"/>
        <v>0</v>
      </c>
      <c r="L192" s="89">
        <f t="shared" si="97"/>
        <v>0</v>
      </c>
      <c r="M192" s="89">
        <f t="shared" si="97"/>
        <v>0</v>
      </c>
      <c r="N192" s="89">
        <f t="shared" si="97"/>
        <v>1459.3096397635231</v>
      </c>
      <c r="O192" s="89">
        <f t="shared" si="97"/>
        <v>97.692505354320474</v>
      </c>
      <c r="P192" s="89">
        <f t="shared" si="97"/>
        <v>1254.5237339204575</v>
      </c>
      <c r="Q192" s="89">
        <f t="shared" ref="Q192:S192" si="98">Q191 * PowerFactor / thousand</f>
        <v>0</v>
      </c>
      <c r="R192" s="89">
        <f t="shared" si="98"/>
        <v>0</v>
      </c>
      <c r="S192" s="89">
        <f t="shared" si="98"/>
        <v>0</v>
      </c>
      <c r="T192" s="89">
        <f t="shared" si="97"/>
        <v>0</v>
      </c>
      <c r="U192" s="89">
        <f t="shared" si="97"/>
        <v>0</v>
      </c>
      <c r="V192" s="89">
        <f t="shared" si="97"/>
        <v>0</v>
      </c>
      <c r="W192" s="89">
        <f t="shared" si="97"/>
        <v>0</v>
      </c>
      <c r="X192" s="89">
        <f t="shared" si="97"/>
        <v>0</v>
      </c>
      <c r="Y192" s="89">
        <f t="shared" si="97"/>
        <v>0</v>
      </c>
      <c r="Z192" s="89">
        <f t="shared" si="97"/>
        <v>0</v>
      </c>
      <c r="AA192" s="89">
        <f t="shared" si="97"/>
        <v>0</v>
      </c>
      <c r="AB192" s="89">
        <f t="shared" si="97"/>
        <v>0</v>
      </c>
      <c r="AT192" s="3"/>
    </row>
    <row r="193" spans="3:46" x14ac:dyDescent="0.25">
      <c r="C193" s="32"/>
      <c r="J193" s="63"/>
      <c r="K193" s="63"/>
      <c r="L193" s="63"/>
      <c r="M193" s="63"/>
      <c r="N193" s="63"/>
      <c r="O193" s="63"/>
      <c r="P193" s="63"/>
      <c r="Q193" s="63"/>
      <c r="R193" s="63"/>
      <c r="S193" s="63"/>
      <c r="T193" s="63"/>
      <c r="U193" s="63"/>
      <c r="V193" s="63"/>
      <c r="W193" s="63"/>
      <c r="X193" s="63"/>
      <c r="Y193" s="63"/>
      <c r="Z193" s="63"/>
      <c r="AA193" s="63"/>
      <c r="AB193" s="63"/>
      <c r="AT193" s="3"/>
    </row>
    <row r="194" spans="3:46" x14ac:dyDescent="0.25">
      <c r="C194" s="31" t="str">
        <f ca="1">INDEX('Version control'!$H$34:$H$57,MATCH($A$1,'Version control'!$F$34:$F$57,0),1)&amp;"-F: Calculation of LV circuit diversity factor"</f>
        <v>Section 106-F: Calculation of LV circuit diversity factor</v>
      </c>
      <c r="D194" s="31"/>
      <c r="E194" s="31"/>
      <c r="F194" s="31"/>
      <c r="G194" s="31"/>
      <c r="H194" s="31"/>
      <c r="I194" s="31"/>
      <c r="J194" s="31"/>
      <c r="K194" s="31"/>
      <c r="L194" s="31"/>
      <c r="M194" s="31"/>
      <c r="N194" s="31"/>
      <c r="O194" s="31"/>
      <c r="P194" s="31"/>
      <c r="Q194" s="31"/>
      <c r="R194" s="31"/>
      <c r="S194" s="31"/>
      <c r="T194" s="31"/>
      <c r="U194" s="31"/>
      <c r="V194" s="31"/>
      <c r="W194" s="31"/>
      <c r="X194" s="31"/>
      <c r="Y194" s="31"/>
      <c r="Z194" s="31"/>
      <c r="AA194" s="31"/>
      <c r="AB194" s="31"/>
      <c r="AC194" s="31"/>
      <c r="AD194" s="31"/>
      <c r="AT194" s="3"/>
    </row>
    <row r="195" spans="3:46" x14ac:dyDescent="0.25">
      <c r="C195" s="32"/>
      <c r="J195" s="63"/>
      <c r="K195" s="63"/>
      <c r="L195" s="63"/>
      <c r="M195" s="63"/>
      <c r="N195" s="63"/>
      <c r="O195" s="63"/>
      <c r="P195" s="63"/>
      <c r="Q195" s="63"/>
      <c r="R195" s="63"/>
      <c r="S195" s="63"/>
      <c r="T195" s="63"/>
      <c r="U195" s="63"/>
      <c r="V195" s="63"/>
      <c r="W195" s="63"/>
      <c r="X195" s="63"/>
      <c r="Y195" s="63"/>
      <c r="Z195" s="63"/>
      <c r="AA195" s="63"/>
      <c r="AB195" s="63"/>
      <c r="AT195" s="3"/>
    </row>
    <row r="196" spans="3:46" x14ac:dyDescent="0.25">
      <c r="C196" s="32"/>
      <c r="D196" s="29" t="s">
        <v>528</v>
      </c>
      <c r="J196" s="63"/>
      <c r="K196" s="63"/>
      <c r="L196" s="63"/>
      <c r="M196" s="63"/>
      <c r="N196" s="63"/>
      <c r="O196" s="63"/>
      <c r="P196" s="63"/>
      <c r="Q196" s="63"/>
      <c r="R196" s="63"/>
      <c r="S196" s="63"/>
      <c r="T196" s="63"/>
      <c r="U196" s="63"/>
      <c r="V196" s="63"/>
      <c r="W196" s="63"/>
      <c r="X196" s="63"/>
      <c r="Y196" s="63"/>
      <c r="Z196" s="63"/>
      <c r="AA196" s="63"/>
      <c r="AB196" s="63"/>
      <c r="AT196" s="3"/>
    </row>
    <row r="197" spans="3:46" x14ac:dyDescent="0.25">
      <c r="D197" s="32"/>
      <c r="J197" s="63"/>
      <c r="K197" s="63"/>
      <c r="L197" s="63"/>
      <c r="M197" s="63"/>
      <c r="N197" s="63"/>
      <c r="O197" s="63"/>
      <c r="P197" s="63"/>
      <c r="Q197" s="63"/>
      <c r="R197" s="63"/>
      <c r="S197" s="63"/>
      <c r="T197" s="63"/>
      <c r="U197" s="63"/>
      <c r="V197" s="63"/>
      <c r="W197" s="63"/>
      <c r="X197" s="63"/>
      <c r="Y197" s="63"/>
      <c r="Z197" s="63"/>
      <c r="AA197" s="63"/>
      <c r="AB197" s="63"/>
      <c r="AT197" s="3"/>
    </row>
    <row r="198" spans="3:46" x14ac:dyDescent="0.25">
      <c r="E198" t="s">
        <v>220</v>
      </c>
      <c r="G198" t="s">
        <v>208</v>
      </c>
      <c r="H198" s="166"/>
      <c r="I198" t="s">
        <v>153</v>
      </c>
      <c r="J198" s="169" t="b">
        <f>'Fixed inputs'!J131</f>
        <v>1</v>
      </c>
      <c r="K198" s="169" t="b">
        <f>'Fixed inputs'!K131</f>
        <v>0</v>
      </c>
      <c r="L198" s="169" t="b">
        <f>'Fixed inputs'!L131</f>
        <v>1</v>
      </c>
      <c r="M198" s="169" t="b">
        <f>'Fixed inputs'!M131</f>
        <v>0</v>
      </c>
      <c r="N198" s="169" t="b">
        <f>'Fixed inputs'!N131</f>
        <v>1</v>
      </c>
      <c r="O198" s="169" t="b">
        <f>'Fixed inputs'!O131</f>
        <v>1</v>
      </c>
      <c r="P198" s="169" t="b">
        <f>'Fixed inputs'!P131</f>
        <v>1</v>
      </c>
      <c r="Q198" s="169" t="b">
        <f>'Fixed inputs'!Q131</f>
        <v>1</v>
      </c>
      <c r="R198" s="169" t="b">
        <f>'Fixed inputs'!R131</f>
        <v>1</v>
      </c>
      <c r="S198" s="169" t="b">
        <f>'Fixed inputs'!S131</f>
        <v>1</v>
      </c>
      <c r="T198" s="169" t="b">
        <f>'Fixed inputs'!T131</f>
        <v>1</v>
      </c>
      <c r="U198" s="169" t="b">
        <f>'Fixed inputs'!U131</f>
        <v>1</v>
      </c>
      <c r="V198" s="169" t="b">
        <f>'Fixed inputs'!V131</f>
        <v>1</v>
      </c>
      <c r="W198" s="169" t="b">
        <f>'Fixed inputs'!W131</f>
        <v>1</v>
      </c>
      <c r="X198" s="169" t="b">
        <f>'Fixed inputs'!X131</f>
        <v>1</v>
      </c>
      <c r="Y198" s="169" t="b">
        <f>'Fixed inputs'!Y131</f>
        <v>1</v>
      </c>
      <c r="Z198" s="169" t="b">
        <f>'Fixed inputs'!Z131</f>
        <v>1</v>
      </c>
      <c r="AA198" s="169" t="b">
        <f>'Fixed inputs'!AA131</f>
        <v>1</v>
      </c>
      <c r="AB198" s="169" t="b">
        <f>'Fixed inputs'!AB131</f>
        <v>1</v>
      </c>
      <c r="AD198" t="s">
        <v>529</v>
      </c>
    </row>
    <row r="199" spans="3:46" x14ac:dyDescent="0.25">
      <c r="D199" s="32"/>
      <c r="H199" s="170"/>
      <c r="J199" s="63"/>
      <c r="L199" s="63"/>
      <c r="AT199" s="3"/>
    </row>
    <row r="200" spans="3:46" x14ac:dyDescent="0.25">
      <c r="C200" s="32"/>
      <c r="E200" t="s">
        <v>530</v>
      </c>
      <c r="G200" t="s">
        <v>171</v>
      </c>
      <c r="H200" s="63"/>
      <c r="I200" t="s">
        <v>153</v>
      </c>
      <c r="J200" s="121">
        <f t="shared" ref="J200:T200" si="99">IF(J61 = 0, 0, J59 / (hours_in_year * J61))</f>
        <v>1482.2201033071178</v>
      </c>
      <c r="K200" s="121">
        <f t="shared" si="99"/>
        <v>310.25539511865327</v>
      </c>
      <c r="L200" s="121">
        <f t="shared" si="99"/>
        <v>603.09926192279704</v>
      </c>
      <c r="M200" s="121">
        <f t="shared" si="99"/>
        <v>29.271123921146547</v>
      </c>
      <c r="N200" s="121">
        <f t="shared" si="99"/>
        <v>577.18884698315355</v>
      </c>
      <c r="O200" s="121">
        <f t="shared" si="99"/>
        <v>40.190979829404341</v>
      </c>
      <c r="P200" s="121">
        <f t="shared" si="99"/>
        <v>537.444083952818</v>
      </c>
      <c r="Q200" s="121">
        <f t="shared" ref="Q200:S200" si="100">IF(Q61 = 0, 0, Q59 / (hours_in_year * Q61))</f>
        <v>0</v>
      </c>
      <c r="R200" s="121">
        <f t="shared" si="100"/>
        <v>0</v>
      </c>
      <c r="S200" s="121">
        <f t="shared" si="100"/>
        <v>0</v>
      </c>
      <c r="T200" s="121">
        <f t="shared" si="99"/>
        <v>63.804570784787025</v>
      </c>
      <c r="U200" s="77"/>
      <c r="V200" s="77"/>
      <c r="W200" s="77"/>
      <c r="X200" s="77"/>
      <c r="Y200" s="77"/>
      <c r="Z200" s="77"/>
      <c r="AA200" s="77"/>
      <c r="AB200" s="77"/>
      <c r="AD200" t="s">
        <v>529</v>
      </c>
      <c r="AT200" s="3"/>
    </row>
    <row r="201" spans="3:46" x14ac:dyDescent="0.25">
      <c r="C201" s="32"/>
      <c r="H201" s="63"/>
      <c r="J201" s="89"/>
      <c r="K201" s="89"/>
      <c r="L201" s="89"/>
      <c r="M201" s="89"/>
      <c r="N201" s="89"/>
      <c r="O201" s="89"/>
      <c r="P201" s="89"/>
      <c r="Q201" s="89"/>
      <c r="R201" s="89"/>
      <c r="S201" s="89"/>
      <c r="T201" s="89"/>
      <c r="U201" s="63"/>
      <c r="V201" s="63"/>
      <c r="W201" s="63"/>
      <c r="X201" s="63"/>
      <c r="Y201" s="63"/>
      <c r="Z201" s="63"/>
      <c r="AA201" s="63"/>
      <c r="AB201" s="63"/>
      <c r="AT201" s="3"/>
    </row>
    <row r="202" spans="3:46" x14ac:dyDescent="0.25">
      <c r="E202" t="s">
        <v>531</v>
      </c>
      <c r="G202" t="s">
        <v>171</v>
      </c>
      <c r="H202" s="63"/>
      <c r="I202" t="s">
        <v>153</v>
      </c>
      <c r="J202" s="89">
        <f t="shared" ref="J202:AB202" si="101">J192 * J42 / $H53</f>
        <v>0</v>
      </c>
      <c r="K202" s="89">
        <f t="shared" si="101"/>
        <v>0</v>
      </c>
      <c r="L202" s="89">
        <f t="shared" si="101"/>
        <v>0</v>
      </c>
      <c r="M202" s="89">
        <f t="shared" si="101"/>
        <v>0</v>
      </c>
      <c r="N202" s="89">
        <f t="shared" si="101"/>
        <v>1459.3096397635231</v>
      </c>
      <c r="O202" s="89">
        <f t="shared" si="101"/>
        <v>0</v>
      </c>
      <c r="P202" s="89">
        <f t="shared" si="101"/>
        <v>0</v>
      </c>
      <c r="Q202" s="89">
        <f t="shared" ref="Q202:S202" si="102">Q192 * Q42 / $H53</f>
        <v>0</v>
      </c>
      <c r="R202" s="89">
        <f t="shared" si="102"/>
        <v>0</v>
      </c>
      <c r="S202" s="89">
        <f t="shared" si="102"/>
        <v>0</v>
      </c>
      <c r="T202" s="89">
        <f t="shared" si="101"/>
        <v>0</v>
      </c>
      <c r="U202" s="89">
        <f t="shared" si="101"/>
        <v>0</v>
      </c>
      <c r="V202" s="89">
        <f t="shared" si="101"/>
        <v>0</v>
      </c>
      <c r="W202" s="89">
        <f t="shared" si="101"/>
        <v>0</v>
      </c>
      <c r="X202" s="89">
        <f t="shared" si="101"/>
        <v>0</v>
      </c>
      <c r="Y202" s="89">
        <f t="shared" si="101"/>
        <v>0</v>
      </c>
      <c r="Z202" s="89">
        <f t="shared" si="101"/>
        <v>0</v>
      </c>
      <c r="AA202" s="89">
        <f t="shared" si="101"/>
        <v>0</v>
      </c>
      <c r="AB202" s="89">
        <f t="shared" si="101"/>
        <v>0</v>
      </c>
      <c r="AD202" t="s">
        <v>529</v>
      </c>
    </row>
    <row r="203" spans="3:46" x14ac:dyDescent="0.25">
      <c r="H203" s="63"/>
      <c r="J203" s="89"/>
      <c r="K203" s="89"/>
      <c r="L203" s="89"/>
      <c r="M203" s="89"/>
      <c r="N203" s="89"/>
      <c r="O203" s="89"/>
      <c r="P203" s="89"/>
      <c r="Q203" s="89"/>
      <c r="R203" s="89"/>
      <c r="S203" s="89"/>
      <c r="T203" s="89"/>
      <c r="U203" s="89"/>
      <c r="V203" s="89"/>
      <c r="W203" s="89"/>
      <c r="X203" s="89"/>
      <c r="Y203" s="89"/>
      <c r="Z203" s="89"/>
      <c r="AA203" s="89"/>
      <c r="AB203" s="89"/>
    </row>
    <row r="204" spans="3:46" x14ac:dyDescent="0.25">
      <c r="E204" t="s">
        <v>532</v>
      </c>
      <c r="G204" t="s">
        <v>171</v>
      </c>
      <c r="H204" s="63"/>
      <c r="J204" s="89">
        <f t="shared" ref="J204:AB204" si="103">IF(J198, J$200 * J42 / $H53, 0)</f>
        <v>1482.2201033071178</v>
      </c>
      <c r="K204" s="89">
        <f t="shared" si="103"/>
        <v>0</v>
      </c>
      <c r="L204" s="89">
        <f t="shared" si="103"/>
        <v>603.09926192279704</v>
      </c>
      <c r="M204" s="89">
        <f t="shared" si="103"/>
        <v>0</v>
      </c>
      <c r="N204" s="89">
        <f t="shared" si="103"/>
        <v>577.18884698315355</v>
      </c>
      <c r="O204" s="89">
        <f t="shared" si="103"/>
        <v>0</v>
      </c>
      <c r="P204" s="89">
        <f t="shared" si="103"/>
        <v>0</v>
      </c>
      <c r="Q204" s="89">
        <f t="shared" ref="Q204:S204" si="104">IF(Q198, Q$200 * Q42 / $H53, 0)</f>
        <v>0</v>
      </c>
      <c r="R204" s="89">
        <f t="shared" si="104"/>
        <v>0</v>
      </c>
      <c r="S204" s="89">
        <f t="shared" si="104"/>
        <v>0</v>
      </c>
      <c r="T204" s="89">
        <f t="shared" si="103"/>
        <v>63.804570784787018</v>
      </c>
      <c r="U204" s="89">
        <f t="shared" si="103"/>
        <v>0</v>
      </c>
      <c r="V204" s="89">
        <f t="shared" si="103"/>
        <v>0</v>
      </c>
      <c r="W204" s="89">
        <f t="shared" si="103"/>
        <v>0</v>
      </c>
      <c r="X204" s="89">
        <f t="shared" si="103"/>
        <v>0</v>
      </c>
      <c r="Y204" s="89">
        <f t="shared" si="103"/>
        <v>0</v>
      </c>
      <c r="Z204" s="89">
        <f t="shared" si="103"/>
        <v>0</v>
      </c>
      <c r="AA204" s="89">
        <f t="shared" si="103"/>
        <v>0</v>
      </c>
      <c r="AB204" s="89">
        <f t="shared" si="103"/>
        <v>0</v>
      </c>
    </row>
    <row r="205" spans="3:46" x14ac:dyDescent="0.25">
      <c r="H205" s="63"/>
      <c r="J205" s="89"/>
      <c r="K205" s="89"/>
      <c r="L205" s="89"/>
      <c r="M205" s="89"/>
      <c r="N205" s="89"/>
      <c r="O205" s="89"/>
      <c r="P205" s="89"/>
      <c r="Q205" s="89"/>
      <c r="R205" s="89"/>
      <c r="S205" s="89"/>
      <c r="T205" s="89"/>
      <c r="U205" s="89"/>
      <c r="V205" s="89"/>
      <c r="W205" s="89"/>
      <c r="X205" s="89"/>
      <c r="Y205" s="89"/>
      <c r="Z205" s="89"/>
      <c r="AA205" s="89"/>
      <c r="AB205" s="89"/>
    </row>
    <row r="206" spans="3:46" x14ac:dyDescent="0.25">
      <c r="E206" t="s">
        <v>533</v>
      </c>
      <c r="G206" t="s">
        <v>171</v>
      </c>
      <c r="H206" s="63"/>
      <c r="J206" s="89">
        <f t="shared" ref="J206:AB206" si="105">IF(J202 = 0, J204, J202)</f>
        <v>1482.2201033071178</v>
      </c>
      <c r="K206" s="89">
        <f t="shared" si="105"/>
        <v>0</v>
      </c>
      <c r="L206" s="89">
        <f t="shared" si="105"/>
        <v>603.09926192279704</v>
      </c>
      <c r="M206" s="89">
        <f t="shared" si="105"/>
        <v>0</v>
      </c>
      <c r="N206" s="89">
        <f t="shared" si="105"/>
        <v>1459.3096397635231</v>
      </c>
      <c r="O206" s="89">
        <f t="shared" si="105"/>
        <v>0</v>
      </c>
      <c r="P206" s="89">
        <f t="shared" si="105"/>
        <v>0</v>
      </c>
      <c r="Q206" s="89">
        <f t="shared" ref="Q206:S206" si="106">IF(Q202 = 0, Q204, Q202)</f>
        <v>0</v>
      </c>
      <c r="R206" s="89">
        <f t="shared" si="106"/>
        <v>0</v>
      </c>
      <c r="S206" s="89">
        <f t="shared" si="106"/>
        <v>0</v>
      </c>
      <c r="T206" s="89">
        <f t="shared" si="105"/>
        <v>63.804570784787018</v>
      </c>
      <c r="U206" s="89">
        <f t="shared" si="105"/>
        <v>0</v>
      </c>
      <c r="V206" s="89">
        <f t="shared" si="105"/>
        <v>0</v>
      </c>
      <c r="W206" s="89">
        <f t="shared" si="105"/>
        <v>0</v>
      </c>
      <c r="X206" s="89">
        <f t="shared" si="105"/>
        <v>0</v>
      </c>
      <c r="Y206" s="89">
        <f t="shared" si="105"/>
        <v>0</v>
      </c>
      <c r="Z206" s="89">
        <f t="shared" si="105"/>
        <v>0</v>
      </c>
      <c r="AA206" s="89">
        <f t="shared" si="105"/>
        <v>0</v>
      </c>
      <c r="AB206" s="89">
        <f t="shared" si="105"/>
        <v>0</v>
      </c>
    </row>
    <row r="207" spans="3:46" x14ac:dyDescent="0.25">
      <c r="H207" s="63"/>
      <c r="J207" s="89"/>
      <c r="K207" s="89"/>
      <c r="L207" s="89"/>
      <c r="M207" s="89"/>
      <c r="N207" s="89"/>
      <c r="O207" s="89"/>
      <c r="P207" s="89"/>
      <c r="Q207" s="89"/>
      <c r="R207" s="89"/>
      <c r="S207" s="89"/>
      <c r="T207" s="89"/>
      <c r="U207" s="89"/>
      <c r="V207" s="89"/>
      <c r="W207" s="89"/>
      <c r="X207" s="89"/>
      <c r="Y207" s="89"/>
      <c r="Z207" s="89"/>
      <c r="AA207" s="89"/>
      <c r="AB207" s="89"/>
    </row>
    <row r="208" spans="3:46" x14ac:dyDescent="0.25">
      <c r="E208" t="s">
        <v>534</v>
      </c>
      <c r="G208" t="s">
        <v>171</v>
      </c>
      <c r="H208" s="63"/>
      <c r="I208" t="s">
        <v>153</v>
      </c>
      <c r="J208" s="89">
        <f t="shared" ref="J208:AB208" si="107">J150</f>
        <v>1236.8220579898709</v>
      </c>
      <c r="K208" s="89">
        <f t="shared" si="107"/>
        <v>6.0238146485777797</v>
      </c>
      <c r="L208" s="89">
        <f t="shared" si="107"/>
        <v>423.43812602843957</v>
      </c>
      <c r="M208" s="89">
        <f t="shared" si="107"/>
        <v>9.9555362275935551</v>
      </c>
      <c r="N208" s="89">
        <f t="shared" si="107"/>
        <v>465.18390970675176</v>
      </c>
      <c r="O208" s="89">
        <f t="shared" si="107"/>
        <v>0</v>
      </c>
      <c r="P208" s="89">
        <f t="shared" si="107"/>
        <v>0</v>
      </c>
      <c r="Q208" s="89">
        <f t="shared" ref="Q208:S208" si="108">Q150</f>
        <v>0</v>
      </c>
      <c r="R208" s="89">
        <f t="shared" si="108"/>
        <v>0</v>
      </c>
      <c r="S208" s="89">
        <f t="shared" si="108"/>
        <v>0</v>
      </c>
      <c r="T208" s="89">
        <f t="shared" si="107"/>
        <v>42.049240106185977</v>
      </c>
      <c r="U208" s="89">
        <f t="shared" si="107"/>
        <v>0</v>
      </c>
      <c r="V208" s="89">
        <f t="shared" si="107"/>
        <v>0</v>
      </c>
      <c r="W208" s="89">
        <f t="shared" si="107"/>
        <v>0</v>
      </c>
      <c r="X208" s="89">
        <f t="shared" si="107"/>
        <v>0</v>
      </c>
      <c r="Y208" s="89">
        <f t="shared" si="107"/>
        <v>0</v>
      </c>
      <c r="Z208" s="89">
        <f t="shared" si="107"/>
        <v>0</v>
      </c>
      <c r="AA208" s="89">
        <f t="shared" si="107"/>
        <v>0</v>
      </c>
      <c r="AB208" s="89">
        <f t="shared" si="107"/>
        <v>0</v>
      </c>
      <c r="AD208" t="s">
        <v>529</v>
      </c>
    </row>
    <row r="209" spans="5:46" x14ac:dyDescent="0.25">
      <c r="H209" s="63"/>
      <c r="J209" s="63"/>
      <c r="K209" s="63"/>
      <c r="L209" s="63"/>
      <c r="M209" s="63"/>
      <c r="N209" s="63"/>
      <c r="O209" s="63"/>
      <c r="P209" s="63"/>
      <c r="Q209" s="63"/>
      <c r="R209" s="63"/>
      <c r="S209" s="63"/>
      <c r="T209" s="63"/>
      <c r="U209" s="63"/>
      <c r="V209" s="63"/>
      <c r="W209" s="63"/>
      <c r="X209" s="63"/>
      <c r="Y209" s="63"/>
      <c r="Z209" s="63"/>
      <c r="AA209" s="63"/>
      <c r="AB209" s="63"/>
    </row>
    <row r="210" spans="5:46" x14ac:dyDescent="0.25">
      <c r="E210" t="s">
        <v>535</v>
      </c>
      <c r="G210" t="s">
        <v>166</v>
      </c>
      <c r="H210" s="171">
        <f>SUM(J206:AB206) / SUM(J208:AB208) - 1</f>
        <v>0.65261219022840544</v>
      </c>
      <c r="J210" s="63"/>
      <c r="K210" s="63"/>
      <c r="L210" s="63"/>
      <c r="M210" s="63"/>
      <c r="N210" s="63"/>
      <c r="O210" s="63"/>
      <c r="P210" s="63"/>
      <c r="Q210" s="63"/>
      <c r="R210" s="63"/>
      <c r="S210" s="63"/>
      <c r="T210" s="63"/>
      <c r="U210" s="63"/>
      <c r="V210" s="63"/>
      <c r="W210" s="63"/>
      <c r="X210" s="63"/>
      <c r="Y210" s="63"/>
      <c r="Z210" s="63"/>
      <c r="AA210" s="63"/>
      <c r="AB210" s="63"/>
    </row>
    <row r="211" spans="5:46" x14ac:dyDescent="0.25">
      <c r="H211" s="166"/>
    </row>
    <row r="212" spans="5:46" x14ac:dyDescent="0.25">
      <c r="E212" s="32" t="s">
        <v>389</v>
      </c>
      <c r="J212" s="63"/>
      <c r="L212" s="63"/>
      <c r="AD212" t="s">
        <v>529</v>
      </c>
      <c r="AT212" s="3"/>
    </row>
    <row r="213" spans="5:46" x14ac:dyDescent="0.25">
      <c r="E213" s="29" t="s">
        <v>536</v>
      </c>
      <c r="F213" s="29"/>
      <c r="J213" s="63"/>
      <c r="L213" s="63"/>
      <c r="AT213" s="3"/>
    </row>
    <row r="214" spans="5:46" x14ac:dyDescent="0.25">
      <c r="E214" s="32"/>
      <c r="F214" s="23" t="s">
        <v>190</v>
      </c>
      <c r="G214" s="23" t="s">
        <v>166</v>
      </c>
      <c r="H214" s="107">
        <f t="array" ref="H214:H222">TRANSPOSE('Load &amp; loss characteristics'!K23:S23)</f>
        <v>0.1160000000000001</v>
      </c>
      <c r="J214" s="63"/>
      <c r="K214" s="84"/>
      <c r="L214" s="63"/>
      <c r="M214" s="84"/>
      <c r="AT214" s="3"/>
    </row>
    <row r="215" spans="5:46" x14ac:dyDescent="0.25">
      <c r="E215" s="32"/>
      <c r="F215" t="s">
        <v>191</v>
      </c>
      <c r="G215" t="s">
        <v>166</v>
      </c>
      <c r="H215" s="25">
        <v>0.1160000000000001</v>
      </c>
      <c r="J215" s="63"/>
      <c r="L215" s="63"/>
      <c r="AT215" s="3"/>
    </row>
    <row r="216" spans="5:46" x14ac:dyDescent="0.25">
      <c r="E216" s="32"/>
      <c r="F216" t="s">
        <v>192</v>
      </c>
      <c r="G216" t="s">
        <v>166</v>
      </c>
      <c r="H216" s="25">
        <v>0.1160000000000001</v>
      </c>
      <c r="J216" s="63"/>
      <c r="L216" s="63"/>
      <c r="AT216" s="3"/>
    </row>
    <row r="217" spans="5:46" x14ac:dyDescent="0.25">
      <c r="E217" s="32"/>
      <c r="F217" t="s">
        <v>193</v>
      </c>
      <c r="G217" t="s">
        <v>166</v>
      </c>
      <c r="H217" s="25">
        <v>0.26107999999999998</v>
      </c>
      <c r="J217" s="63"/>
      <c r="L217" s="63"/>
      <c r="AT217" s="3"/>
    </row>
    <row r="218" spans="5:46" x14ac:dyDescent="0.25">
      <c r="E218" s="32"/>
      <c r="F218" t="s">
        <v>194</v>
      </c>
      <c r="G218" t="s">
        <v>166</v>
      </c>
      <c r="H218" s="25">
        <v>0.26107999999999998</v>
      </c>
      <c r="J218" s="63"/>
      <c r="L218" s="63"/>
      <c r="AT218" s="3"/>
    </row>
    <row r="219" spans="5:46" x14ac:dyDescent="0.25">
      <c r="E219" s="32"/>
      <c r="F219" t="s">
        <v>195</v>
      </c>
      <c r="G219" t="s">
        <v>166</v>
      </c>
      <c r="H219" s="25">
        <v>0.1160000000000001</v>
      </c>
      <c r="J219" s="63"/>
      <c r="L219" s="63"/>
      <c r="AT219" s="3"/>
    </row>
    <row r="220" spans="5:46" x14ac:dyDescent="0.25">
      <c r="E220" s="32"/>
      <c r="F220" t="s">
        <v>196</v>
      </c>
      <c r="G220" t="s">
        <v>166</v>
      </c>
      <c r="H220" s="25">
        <v>0.57634999999999992</v>
      </c>
      <c r="J220" s="63"/>
      <c r="L220" s="63"/>
      <c r="AT220" s="3"/>
    </row>
    <row r="221" spans="5:46" x14ac:dyDescent="0.25">
      <c r="E221" s="32"/>
      <c r="F221" t="s">
        <v>197</v>
      </c>
      <c r="G221" t="s">
        <v>166</v>
      </c>
      <c r="H221" s="25">
        <v>0.57634999999999992</v>
      </c>
      <c r="J221" s="63"/>
      <c r="L221" s="63"/>
      <c r="AT221" s="3"/>
    </row>
    <row r="222" spans="5:46" x14ac:dyDescent="0.25">
      <c r="E222" s="32"/>
      <c r="F222" s="37" t="s">
        <v>198</v>
      </c>
      <c r="G222" s="37" t="s">
        <v>166</v>
      </c>
      <c r="H222" s="141">
        <v>0.57634999999999992</v>
      </c>
      <c r="J222" s="63"/>
      <c r="L222" s="63"/>
      <c r="AT222" s="3"/>
    </row>
    <row r="223" spans="5:46" x14ac:dyDescent="0.25">
      <c r="H223" s="166"/>
    </row>
    <row r="224" spans="5:46" x14ac:dyDescent="0.25">
      <c r="E224" s="32" t="s">
        <v>537</v>
      </c>
      <c r="J224" s="63"/>
      <c r="L224" s="63"/>
      <c r="AD224" t="s">
        <v>529</v>
      </c>
      <c r="AT224" s="3"/>
    </row>
    <row r="225" spans="3:46" x14ac:dyDescent="0.25">
      <c r="E225" s="29" t="s">
        <v>538</v>
      </c>
      <c r="F225" s="29"/>
      <c r="J225" s="63"/>
      <c r="L225" s="63"/>
      <c r="AT225" s="3"/>
    </row>
    <row r="226" spans="3:46" x14ac:dyDescent="0.25">
      <c r="C226" s="32"/>
      <c r="F226" s="23" t="s">
        <v>190</v>
      </c>
      <c r="G226" s="23" t="s">
        <v>166</v>
      </c>
      <c r="H226" s="172">
        <f t="shared" ref="H226:H233" si="109">IF(F226 = $F$234, $H$210, H214)</f>
        <v>0.1160000000000001</v>
      </c>
      <c r="J226" s="63"/>
      <c r="L226" s="63"/>
      <c r="AT226" s="3"/>
    </row>
    <row r="227" spans="3:46" x14ac:dyDescent="0.25">
      <c r="C227" s="32"/>
      <c r="F227" t="s">
        <v>191</v>
      </c>
      <c r="G227" t="s">
        <v>166</v>
      </c>
      <c r="H227" s="111">
        <f t="shared" si="109"/>
        <v>0.1160000000000001</v>
      </c>
      <c r="J227" s="63"/>
      <c r="L227" s="63"/>
      <c r="AT227" s="3"/>
    </row>
    <row r="228" spans="3:46" x14ac:dyDescent="0.25">
      <c r="C228" s="32"/>
      <c r="F228" t="s">
        <v>192</v>
      </c>
      <c r="G228" t="s">
        <v>166</v>
      </c>
      <c r="H228" s="111">
        <f t="shared" si="109"/>
        <v>0.1160000000000001</v>
      </c>
      <c r="J228" s="63"/>
      <c r="L228" s="63"/>
      <c r="AT228" s="3"/>
    </row>
    <row r="229" spans="3:46" x14ac:dyDescent="0.25">
      <c r="C229" s="32"/>
      <c r="F229" t="s">
        <v>193</v>
      </c>
      <c r="G229" t="s">
        <v>166</v>
      </c>
      <c r="H229" s="111">
        <f t="shared" si="109"/>
        <v>0.26107999999999998</v>
      </c>
      <c r="J229" s="63"/>
      <c r="L229" s="63"/>
      <c r="AT229" s="3"/>
    </row>
    <row r="230" spans="3:46" x14ac:dyDescent="0.25">
      <c r="C230" s="32"/>
      <c r="F230" t="s">
        <v>194</v>
      </c>
      <c r="G230" t="s">
        <v>166</v>
      </c>
      <c r="H230" s="111">
        <f t="shared" si="109"/>
        <v>0.26107999999999998</v>
      </c>
      <c r="J230" s="63"/>
      <c r="L230" s="63"/>
      <c r="AT230" s="3"/>
    </row>
    <row r="231" spans="3:46" x14ac:dyDescent="0.25">
      <c r="C231" s="32"/>
      <c r="F231" t="s">
        <v>195</v>
      </c>
      <c r="G231" t="s">
        <v>166</v>
      </c>
      <c r="H231" s="111">
        <f t="shared" si="109"/>
        <v>0.1160000000000001</v>
      </c>
      <c r="J231" s="63"/>
      <c r="L231" s="63"/>
      <c r="AT231" s="3"/>
    </row>
    <row r="232" spans="3:46" x14ac:dyDescent="0.25">
      <c r="C232" s="32"/>
      <c r="F232" t="s">
        <v>196</v>
      </c>
      <c r="G232" t="s">
        <v>166</v>
      </c>
      <c r="H232" s="111">
        <f t="shared" si="109"/>
        <v>0.57634999999999992</v>
      </c>
      <c r="J232" s="63"/>
      <c r="L232" s="63"/>
      <c r="AT232" s="3"/>
    </row>
    <row r="233" spans="3:46" x14ac:dyDescent="0.25">
      <c r="C233" s="32"/>
      <c r="F233" t="s">
        <v>197</v>
      </c>
      <c r="G233" t="s">
        <v>166</v>
      </c>
      <c r="H233" s="111">
        <f t="shared" si="109"/>
        <v>0.57634999999999992</v>
      </c>
      <c r="J233" s="63"/>
      <c r="L233" s="63"/>
      <c r="AT233" s="3"/>
    </row>
    <row r="234" spans="3:46" x14ac:dyDescent="0.25">
      <c r="C234" s="32"/>
      <c r="F234" s="37" t="s">
        <v>198</v>
      </c>
      <c r="G234" s="37" t="s">
        <v>166</v>
      </c>
      <c r="H234" s="143">
        <f>IF(F234 = $F$234, $H$210, H222)</f>
        <v>0.65261219022840544</v>
      </c>
      <c r="J234" s="63"/>
      <c r="L234" s="63"/>
      <c r="AT234" s="3"/>
    </row>
    <row r="235" spans="3:46" x14ac:dyDescent="0.25">
      <c r="H235" s="166"/>
    </row>
    <row r="236" spans="3:46" x14ac:dyDescent="0.25">
      <c r="C236" s="31" t="str">
        <f ca="1">INDEX('Version control'!$H$34:$H$57,MATCH($A$1,'Version control'!$F$34:$F$57,0),1)&amp;"-G: Import/exceeded capacity contribution to system peak"</f>
        <v>Section 106-G: Import/exceeded capacity contribution to system peak</v>
      </c>
      <c r="D236" s="31"/>
      <c r="E236" s="31"/>
      <c r="F236" s="31"/>
      <c r="G236" s="31"/>
      <c r="H236" s="31"/>
      <c r="I236" s="31"/>
      <c r="J236" s="31"/>
      <c r="K236" s="31"/>
      <c r="L236" s="31"/>
      <c r="M236" s="31"/>
      <c r="N236" s="31"/>
      <c r="O236" s="31"/>
      <c r="P236" s="31"/>
      <c r="Q236" s="31"/>
      <c r="R236" s="31"/>
      <c r="S236" s="31"/>
      <c r="T236" s="31"/>
      <c r="U236" s="31"/>
      <c r="V236" s="31"/>
      <c r="W236" s="31"/>
      <c r="X236" s="31"/>
      <c r="Y236" s="31"/>
      <c r="Z236" s="31"/>
      <c r="AA236" s="31"/>
      <c r="AB236" s="31"/>
      <c r="AC236" s="31"/>
      <c r="AD236" s="31"/>
      <c r="AT236" s="3"/>
    </row>
    <row r="237" spans="3:46" x14ac:dyDescent="0.25">
      <c r="H237" s="166"/>
    </row>
    <row r="238" spans="3:46" x14ac:dyDescent="0.25">
      <c r="E238" s="32" t="s">
        <v>539</v>
      </c>
      <c r="F238" s="29"/>
      <c r="H238" s="173"/>
    </row>
    <row r="239" spans="3:46" x14ac:dyDescent="0.25">
      <c r="C239" s="32"/>
      <c r="F239" s="23" t="s">
        <v>190</v>
      </c>
      <c r="G239" s="23" t="s">
        <v>171</v>
      </c>
      <c r="H239" s="129"/>
      <c r="I239" s="23"/>
      <c r="J239" s="158">
        <f t="shared" ref="J239:AB239" si="110">J$192 * J23 * J34 / (1 + $H226) / $H45</f>
        <v>0</v>
      </c>
      <c r="K239" s="158">
        <f t="shared" si="110"/>
        <v>0</v>
      </c>
      <c r="L239" s="158">
        <f t="shared" si="110"/>
        <v>0</v>
      </c>
      <c r="M239" s="158">
        <f t="shared" si="110"/>
        <v>0</v>
      </c>
      <c r="N239" s="158">
        <f t="shared" si="110"/>
        <v>0</v>
      </c>
      <c r="O239" s="158">
        <f t="shared" si="110"/>
        <v>0</v>
      </c>
      <c r="P239" s="158">
        <f t="shared" si="110"/>
        <v>0</v>
      </c>
      <c r="Q239" s="158">
        <f t="shared" ref="Q239:S239" si="111">Q$192 * Q23 * Q34 / (1 + $H226) / $H45</f>
        <v>0</v>
      </c>
      <c r="R239" s="158">
        <f t="shared" si="111"/>
        <v>0</v>
      </c>
      <c r="S239" s="158">
        <f t="shared" si="111"/>
        <v>0</v>
      </c>
      <c r="T239" s="158">
        <f t="shared" si="110"/>
        <v>0</v>
      </c>
      <c r="U239" s="158">
        <f t="shared" si="110"/>
        <v>0</v>
      </c>
      <c r="V239" s="158">
        <f t="shared" si="110"/>
        <v>0</v>
      </c>
      <c r="W239" s="158">
        <f t="shared" si="110"/>
        <v>0</v>
      </c>
      <c r="X239" s="158">
        <f t="shared" si="110"/>
        <v>0</v>
      </c>
      <c r="Y239" s="158">
        <f t="shared" si="110"/>
        <v>0</v>
      </c>
      <c r="Z239" s="158">
        <f t="shared" si="110"/>
        <v>0</v>
      </c>
      <c r="AA239" s="158">
        <f t="shared" si="110"/>
        <v>0</v>
      </c>
      <c r="AB239" s="158">
        <f t="shared" si="110"/>
        <v>0</v>
      </c>
      <c r="AT239" s="3"/>
    </row>
    <row r="240" spans="3:46" x14ac:dyDescent="0.25">
      <c r="C240" s="32"/>
      <c r="F240" t="s">
        <v>191</v>
      </c>
      <c r="G240" t="s">
        <v>171</v>
      </c>
      <c r="H240" s="63"/>
      <c r="J240" s="89">
        <f t="shared" ref="J240:AB240" si="112">J$192 * J24 * J35 / (1 + $H227) / $H46</f>
        <v>0</v>
      </c>
      <c r="K240" s="89">
        <f t="shared" si="112"/>
        <v>0</v>
      </c>
      <c r="L240" s="89">
        <f t="shared" si="112"/>
        <v>0</v>
      </c>
      <c r="M240" s="89">
        <f t="shared" si="112"/>
        <v>0</v>
      </c>
      <c r="N240" s="89">
        <f t="shared" si="112"/>
        <v>0</v>
      </c>
      <c r="O240" s="89">
        <f t="shared" si="112"/>
        <v>0</v>
      </c>
      <c r="P240" s="89">
        <f t="shared" si="112"/>
        <v>0</v>
      </c>
      <c r="Q240" s="89">
        <f t="shared" ref="Q240:S240" si="113">Q$192 * Q24 * Q35 / (1 + $H227) / $H46</f>
        <v>0</v>
      </c>
      <c r="R240" s="89">
        <f t="shared" si="113"/>
        <v>0</v>
      </c>
      <c r="S240" s="89">
        <f t="shared" si="113"/>
        <v>0</v>
      </c>
      <c r="T240" s="89">
        <f t="shared" si="112"/>
        <v>0</v>
      </c>
      <c r="U240" s="89">
        <f t="shared" si="112"/>
        <v>0</v>
      </c>
      <c r="V240" s="89">
        <f t="shared" si="112"/>
        <v>0</v>
      </c>
      <c r="W240" s="89">
        <f t="shared" si="112"/>
        <v>0</v>
      </c>
      <c r="X240" s="89">
        <f t="shared" si="112"/>
        <v>0</v>
      </c>
      <c r="Y240" s="89">
        <f t="shared" si="112"/>
        <v>0</v>
      </c>
      <c r="Z240" s="89">
        <f t="shared" si="112"/>
        <v>0</v>
      </c>
      <c r="AA240" s="89">
        <f t="shared" si="112"/>
        <v>0</v>
      </c>
      <c r="AB240" s="89">
        <f t="shared" si="112"/>
        <v>0</v>
      </c>
      <c r="AT240" s="3"/>
    </row>
    <row r="241" spans="3:46" x14ac:dyDescent="0.25">
      <c r="C241" s="32"/>
      <c r="F241" t="s">
        <v>192</v>
      </c>
      <c r="G241" t="s">
        <v>171</v>
      </c>
      <c r="H241" s="63"/>
      <c r="J241" s="89">
        <f t="shared" ref="J241:AB241" si="114">J$192 * J25 * J36 / (1 + $H228) / $H47</f>
        <v>0</v>
      </c>
      <c r="K241" s="89">
        <f t="shared" si="114"/>
        <v>0</v>
      </c>
      <c r="L241" s="89">
        <f t="shared" si="114"/>
        <v>0</v>
      </c>
      <c r="M241" s="89">
        <f t="shared" si="114"/>
        <v>0</v>
      </c>
      <c r="N241" s="89">
        <f t="shared" si="114"/>
        <v>0</v>
      </c>
      <c r="O241" s="89">
        <f t="shared" si="114"/>
        <v>0</v>
      </c>
      <c r="P241" s="89">
        <f t="shared" si="114"/>
        <v>0</v>
      </c>
      <c r="Q241" s="89">
        <f t="shared" ref="Q241:S241" si="115">Q$192 * Q25 * Q36 / (1 + $H228) / $H47</f>
        <v>0</v>
      </c>
      <c r="R241" s="89">
        <f t="shared" si="115"/>
        <v>0</v>
      </c>
      <c r="S241" s="89">
        <f t="shared" si="115"/>
        <v>0</v>
      </c>
      <c r="T241" s="89">
        <f t="shared" si="114"/>
        <v>0</v>
      </c>
      <c r="U241" s="89">
        <f t="shared" si="114"/>
        <v>0</v>
      </c>
      <c r="V241" s="89">
        <f t="shared" si="114"/>
        <v>0</v>
      </c>
      <c r="W241" s="89">
        <f t="shared" si="114"/>
        <v>0</v>
      </c>
      <c r="X241" s="89">
        <f t="shared" si="114"/>
        <v>0</v>
      </c>
      <c r="Y241" s="89">
        <f t="shared" si="114"/>
        <v>0</v>
      </c>
      <c r="Z241" s="89">
        <f t="shared" si="114"/>
        <v>0</v>
      </c>
      <c r="AA241" s="89">
        <f t="shared" si="114"/>
        <v>0</v>
      </c>
      <c r="AB241" s="89">
        <f t="shared" si="114"/>
        <v>0</v>
      </c>
      <c r="AT241" s="3"/>
    </row>
    <row r="242" spans="3:46" x14ac:dyDescent="0.25">
      <c r="C242" s="32"/>
      <c r="F242" t="s">
        <v>193</v>
      </c>
      <c r="G242" t="s">
        <v>171</v>
      </c>
      <c r="H242" s="63"/>
      <c r="J242" s="89">
        <f t="shared" ref="J242:AB242" si="116">J$192 * J26 * J37 / (1 + $H229) / $H48</f>
        <v>0</v>
      </c>
      <c r="K242" s="89">
        <f t="shared" si="116"/>
        <v>0</v>
      </c>
      <c r="L242" s="89">
        <f t="shared" si="116"/>
        <v>0</v>
      </c>
      <c r="M242" s="89">
        <f t="shared" si="116"/>
        <v>0</v>
      </c>
      <c r="N242" s="89">
        <f t="shared" si="116"/>
        <v>0</v>
      </c>
      <c r="O242" s="89">
        <f t="shared" si="116"/>
        <v>0</v>
      </c>
      <c r="P242" s="89">
        <f t="shared" si="116"/>
        <v>203.31990005568957</v>
      </c>
      <c r="Q242" s="89">
        <f t="shared" ref="Q242:S242" si="117">Q$192 * Q26 * Q37 / (1 + $H229) / $H48</f>
        <v>0</v>
      </c>
      <c r="R242" s="89">
        <f t="shared" si="117"/>
        <v>0</v>
      </c>
      <c r="S242" s="89">
        <f t="shared" si="117"/>
        <v>0</v>
      </c>
      <c r="T242" s="89">
        <f t="shared" si="116"/>
        <v>0</v>
      </c>
      <c r="U242" s="89">
        <f t="shared" si="116"/>
        <v>0</v>
      </c>
      <c r="V242" s="89">
        <f t="shared" si="116"/>
        <v>0</v>
      </c>
      <c r="W242" s="89">
        <f t="shared" si="116"/>
        <v>0</v>
      </c>
      <c r="X242" s="89">
        <f t="shared" si="116"/>
        <v>0</v>
      </c>
      <c r="Y242" s="89">
        <f t="shared" si="116"/>
        <v>0</v>
      </c>
      <c r="Z242" s="89">
        <f t="shared" si="116"/>
        <v>0</v>
      </c>
      <c r="AA242" s="89">
        <f t="shared" si="116"/>
        <v>0</v>
      </c>
      <c r="AB242" s="89">
        <f t="shared" si="116"/>
        <v>0</v>
      </c>
      <c r="AT242" s="3"/>
    </row>
    <row r="243" spans="3:46" x14ac:dyDescent="0.25">
      <c r="C243" s="32"/>
      <c r="F243" t="s">
        <v>194</v>
      </c>
      <c r="G243" t="s">
        <v>171</v>
      </c>
      <c r="H243" s="63"/>
      <c r="J243" s="89">
        <f t="shared" ref="J243:AB243" si="118">J$192 * J27 * J38 / (1 + $H230) / $H49</f>
        <v>0</v>
      </c>
      <c r="K243" s="89">
        <f t="shared" si="118"/>
        <v>0</v>
      </c>
      <c r="L243" s="89">
        <f t="shared" si="118"/>
        <v>0</v>
      </c>
      <c r="M243" s="89">
        <f t="shared" si="118"/>
        <v>0</v>
      </c>
      <c r="N243" s="89">
        <f t="shared" si="118"/>
        <v>0</v>
      </c>
      <c r="O243" s="89">
        <f t="shared" si="118"/>
        <v>0</v>
      </c>
      <c r="P243" s="89">
        <f t="shared" si="118"/>
        <v>1007.567520512894</v>
      </c>
      <c r="Q243" s="89">
        <f t="shared" ref="Q243:S243" si="119">Q$192 * Q27 * Q38 / (1 + $H230) / $H49</f>
        <v>0</v>
      </c>
      <c r="R243" s="89">
        <f t="shared" si="119"/>
        <v>0</v>
      </c>
      <c r="S243" s="89">
        <f t="shared" si="119"/>
        <v>0</v>
      </c>
      <c r="T243" s="89">
        <f t="shared" si="118"/>
        <v>0</v>
      </c>
      <c r="U243" s="89">
        <f t="shared" si="118"/>
        <v>0</v>
      </c>
      <c r="V243" s="89">
        <f t="shared" si="118"/>
        <v>0</v>
      </c>
      <c r="W243" s="89">
        <f t="shared" si="118"/>
        <v>0</v>
      </c>
      <c r="X243" s="89">
        <f t="shared" si="118"/>
        <v>0</v>
      </c>
      <c r="Y243" s="89">
        <f t="shared" si="118"/>
        <v>0</v>
      </c>
      <c r="Z243" s="89">
        <f t="shared" si="118"/>
        <v>0</v>
      </c>
      <c r="AA243" s="89">
        <f t="shared" si="118"/>
        <v>0</v>
      </c>
      <c r="AB243" s="89">
        <f t="shared" si="118"/>
        <v>0</v>
      </c>
      <c r="AT243" s="3"/>
    </row>
    <row r="244" spans="3:46" x14ac:dyDescent="0.25">
      <c r="C244" s="32"/>
      <c r="F244" t="s">
        <v>195</v>
      </c>
      <c r="G244" t="s">
        <v>171</v>
      </c>
      <c r="H244" s="63"/>
      <c r="J244" s="89">
        <f t="shared" ref="J244:AB244" si="120">J$192 * J28 * J39 / (1 + $H231) / $H50</f>
        <v>0</v>
      </c>
      <c r="K244" s="89">
        <f t="shared" si="120"/>
        <v>0</v>
      </c>
      <c r="L244" s="89">
        <f t="shared" si="120"/>
        <v>0</v>
      </c>
      <c r="M244" s="89">
        <f t="shared" si="120"/>
        <v>0</v>
      </c>
      <c r="N244" s="89">
        <f t="shared" si="120"/>
        <v>0</v>
      </c>
      <c r="O244" s="89">
        <f t="shared" si="120"/>
        <v>0</v>
      </c>
      <c r="P244" s="89">
        <f t="shared" si="120"/>
        <v>0</v>
      </c>
      <c r="Q244" s="89">
        <f t="shared" ref="Q244:S244" si="121">Q$192 * Q28 * Q39 / (1 + $H231) / $H50</f>
        <v>0</v>
      </c>
      <c r="R244" s="89">
        <f t="shared" si="121"/>
        <v>0</v>
      </c>
      <c r="S244" s="89">
        <f t="shared" si="121"/>
        <v>0</v>
      </c>
      <c r="T244" s="89">
        <f t="shared" si="120"/>
        <v>0</v>
      </c>
      <c r="U244" s="89">
        <f t="shared" si="120"/>
        <v>0</v>
      </c>
      <c r="V244" s="89">
        <f t="shared" si="120"/>
        <v>0</v>
      </c>
      <c r="W244" s="89">
        <f t="shared" si="120"/>
        <v>0</v>
      </c>
      <c r="X244" s="89">
        <f t="shared" si="120"/>
        <v>0</v>
      </c>
      <c r="Y244" s="89">
        <f t="shared" si="120"/>
        <v>0</v>
      </c>
      <c r="Z244" s="89">
        <f t="shared" si="120"/>
        <v>0</v>
      </c>
      <c r="AA244" s="89">
        <f t="shared" si="120"/>
        <v>0</v>
      </c>
      <c r="AB244" s="89">
        <f t="shared" si="120"/>
        <v>0</v>
      </c>
      <c r="AT244" s="3"/>
    </row>
    <row r="245" spans="3:46" x14ac:dyDescent="0.25">
      <c r="C245" s="32"/>
      <c r="F245" t="s">
        <v>196</v>
      </c>
      <c r="G245" t="s">
        <v>171</v>
      </c>
      <c r="H245" s="63"/>
      <c r="J245" s="89">
        <f t="shared" ref="J245:AB245" si="122">J$192 * J29 * J40 / (1 + $H232) / $H51</f>
        <v>0</v>
      </c>
      <c r="K245" s="89">
        <f t="shared" si="122"/>
        <v>0</v>
      </c>
      <c r="L245" s="89">
        <f t="shared" si="122"/>
        <v>0</v>
      </c>
      <c r="M245" s="89">
        <f t="shared" si="122"/>
        <v>0</v>
      </c>
      <c r="N245" s="89">
        <f t="shared" si="122"/>
        <v>198.14347496203465</v>
      </c>
      <c r="O245" s="89">
        <f t="shared" si="122"/>
        <v>63.061127894837981</v>
      </c>
      <c r="P245" s="89">
        <f t="shared" si="122"/>
        <v>795.84085635833264</v>
      </c>
      <c r="Q245" s="89">
        <f t="shared" ref="Q245:S245" si="123">Q$192 * Q29 * Q40 / (1 + $H232) / $H51</f>
        <v>0</v>
      </c>
      <c r="R245" s="89">
        <f t="shared" si="123"/>
        <v>0</v>
      </c>
      <c r="S245" s="89">
        <f t="shared" si="123"/>
        <v>0</v>
      </c>
      <c r="T245" s="89">
        <f t="shared" si="122"/>
        <v>0</v>
      </c>
      <c r="U245" s="89">
        <f t="shared" si="122"/>
        <v>0</v>
      </c>
      <c r="V245" s="89">
        <f t="shared" si="122"/>
        <v>0</v>
      </c>
      <c r="W245" s="89">
        <f t="shared" si="122"/>
        <v>0</v>
      </c>
      <c r="X245" s="89">
        <f t="shared" si="122"/>
        <v>0</v>
      </c>
      <c r="Y245" s="89">
        <f t="shared" si="122"/>
        <v>0</v>
      </c>
      <c r="Z245" s="89">
        <f t="shared" si="122"/>
        <v>0</v>
      </c>
      <c r="AA245" s="89">
        <f t="shared" si="122"/>
        <v>0</v>
      </c>
      <c r="AB245" s="89">
        <f t="shared" si="122"/>
        <v>0</v>
      </c>
      <c r="AT245" s="3"/>
    </row>
    <row r="246" spans="3:46" x14ac:dyDescent="0.25">
      <c r="C246" s="32"/>
      <c r="F246" t="s">
        <v>197</v>
      </c>
      <c r="G246" t="s">
        <v>171</v>
      </c>
      <c r="H246" s="63"/>
      <c r="J246" s="89">
        <f t="shared" ref="J246:AB246" si="124">J$192 * J30 * J41 / (1 + $H233) / $H52</f>
        <v>0</v>
      </c>
      <c r="K246" s="89">
        <f t="shared" si="124"/>
        <v>0</v>
      </c>
      <c r="L246" s="89">
        <f t="shared" si="124"/>
        <v>0</v>
      </c>
      <c r="M246" s="89">
        <f t="shared" si="124"/>
        <v>0</v>
      </c>
      <c r="N246" s="89">
        <f t="shared" si="124"/>
        <v>973.6360407617218</v>
      </c>
      <c r="O246" s="89">
        <f t="shared" si="124"/>
        <v>61.973867069064909</v>
      </c>
      <c r="P246" s="89">
        <f t="shared" si="124"/>
        <v>0</v>
      </c>
      <c r="Q246" s="89">
        <f t="shared" ref="Q246:S246" si="125">Q$192 * Q30 * Q41 / (1 + $H233) / $H52</f>
        <v>0</v>
      </c>
      <c r="R246" s="89">
        <f t="shared" si="125"/>
        <v>0</v>
      </c>
      <c r="S246" s="89">
        <f t="shared" si="125"/>
        <v>0</v>
      </c>
      <c r="T246" s="89">
        <f t="shared" si="124"/>
        <v>0</v>
      </c>
      <c r="U246" s="89">
        <f t="shared" si="124"/>
        <v>0</v>
      </c>
      <c r="V246" s="89">
        <f t="shared" si="124"/>
        <v>0</v>
      </c>
      <c r="W246" s="89">
        <f t="shared" si="124"/>
        <v>0</v>
      </c>
      <c r="X246" s="89">
        <f t="shared" si="124"/>
        <v>0</v>
      </c>
      <c r="Y246" s="89">
        <f t="shared" si="124"/>
        <v>0</v>
      </c>
      <c r="Z246" s="89">
        <f t="shared" si="124"/>
        <v>0</v>
      </c>
      <c r="AA246" s="89">
        <f t="shared" si="124"/>
        <v>0</v>
      </c>
      <c r="AB246" s="89">
        <f t="shared" si="124"/>
        <v>0</v>
      </c>
      <c r="AT246" s="3"/>
    </row>
    <row r="247" spans="3:46" x14ac:dyDescent="0.25">
      <c r="C247" s="32"/>
      <c r="F247" s="37" t="s">
        <v>198</v>
      </c>
      <c r="G247" s="37" t="s">
        <v>171</v>
      </c>
      <c r="H247" s="130"/>
      <c r="I247" s="37"/>
      <c r="J247" s="82">
        <f t="shared" ref="J247:AB247" si="126">J$192 * J31 * J42 / (1 + $H234) / $H53</f>
        <v>0</v>
      </c>
      <c r="K247" s="82">
        <f t="shared" si="126"/>
        <v>0</v>
      </c>
      <c r="L247" s="82">
        <f t="shared" si="126"/>
        <v>0</v>
      </c>
      <c r="M247" s="82">
        <f t="shared" si="126"/>
        <v>0</v>
      </c>
      <c r="N247" s="82">
        <f t="shared" si="126"/>
        <v>883.03211630178885</v>
      </c>
      <c r="O247" s="82">
        <f t="shared" si="126"/>
        <v>0</v>
      </c>
      <c r="P247" s="82">
        <f t="shared" si="126"/>
        <v>0</v>
      </c>
      <c r="Q247" s="82">
        <f t="shared" ref="Q247:S247" si="127">Q$192 * Q31 * Q42 / (1 + $H234) / $H53</f>
        <v>0</v>
      </c>
      <c r="R247" s="82">
        <f t="shared" si="127"/>
        <v>0</v>
      </c>
      <c r="S247" s="82">
        <f t="shared" si="127"/>
        <v>0</v>
      </c>
      <c r="T247" s="82">
        <f t="shared" si="126"/>
        <v>0</v>
      </c>
      <c r="U247" s="82">
        <f t="shared" si="126"/>
        <v>0</v>
      </c>
      <c r="V247" s="82">
        <f t="shared" si="126"/>
        <v>0</v>
      </c>
      <c r="W247" s="82">
        <f t="shared" si="126"/>
        <v>0</v>
      </c>
      <c r="X247" s="82">
        <f t="shared" si="126"/>
        <v>0</v>
      </c>
      <c r="Y247" s="82">
        <f t="shared" si="126"/>
        <v>0</v>
      </c>
      <c r="Z247" s="82">
        <f t="shared" si="126"/>
        <v>0</v>
      </c>
      <c r="AA247" s="82">
        <f t="shared" si="126"/>
        <v>0</v>
      </c>
      <c r="AB247" s="82">
        <f t="shared" si="126"/>
        <v>0</v>
      </c>
      <c r="AT247" s="3"/>
    </row>
    <row r="248" spans="3:46" x14ac:dyDescent="0.25">
      <c r="H248" s="166"/>
      <c r="J248" s="89"/>
      <c r="K248" s="89"/>
      <c r="L248" s="89"/>
      <c r="M248" s="89"/>
      <c r="N248" s="89"/>
      <c r="O248" s="89"/>
      <c r="P248" s="89"/>
      <c r="Q248" s="89"/>
      <c r="R248" s="89"/>
      <c r="S248" s="89"/>
      <c r="T248" s="89"/>
      <c r="U248" s="89"/>
      <c r="V248" s="89"/>
      <c r="W248" s="89"/>
      <c r="X248" s="89"/>
      <c r="Y248" s="89"/>
      <c r="Z248" s="89"/>
      <c r="AA248" s="89"/>
      <c r="AB248" s="89"/>
    </row>
    <row r="249" spans="3:46" x14ac:dyDescent="0.25">
      <c r="C249" s="31" t="str">
        <f ca="1">INDEX('Version control'!$H$34:$H$57,MATCH($A$1,'Version control'!$F$34:$F$57,0),1)&amp;"-H: Estimated capacity contribution to system peak"</f>
        <v>Section 106-H: Estimated capacity contribution to system peak</v>
      </c>
      <c r="D249" s="31"/>
      <c r="E249" s="31"/>
      <c r="F249" s="31"/>
      <c r="G249" s="31"/>
      <c r="H249" s="31"/>
      <c r="I249" s="31"/>
      <c r="J249" s="90"/>
      <c r="K249" s="90"/>
      <c r="L249" s="90"/>
      <c r="M249" s="90"/>
      <c r="N249" s="90"/>
      <c r="O249" s="90"/>
      <c r="P249" s="90"/>
      <c r="Q249" s="90"/>
      <c r="R249" s="90"/>
      <c r="S249" s="90"/>
      <c r="T249" s="90"/>
      <c r="U249" s="90"/>
      <c r="V249" s="90"/>
      <c r="W249" s="90"/>
      <c r="X249" s="90"/>
      <c r="Y249" s="90"/>
      <c r="Z249" s="90"/>
      <c r="AA249" s="90"/>
      <c r="AB249" s="90"/>
      <c r="AC249" s="31"/>
      <c r="AD249" s="31"/>
      <c r="AT249" s="3"/>
    </row>
    <row r="250" spans="3:46" x14ac:dyDescent="0.25">
      <c r="H250" s="166"/>
      <c r="J250" s="89"/>
      <c r="K250" s="89"/>
      <c r="L250" s="89"/>
      <c r="M250" s="89"/>
      <c r="N250" s="89"/>
      <c r="O250" s="89"/>
      <c r="P250" s="89"/>
      <c r="Q250" s="89"/>
      <c r="R250" s="89"/>
      <c r="S250" s="89"/>
      <c r="T250" s="89"/>
      <c r="U250" s="89"/>
      <c r="V250" s="89"/>
      <c r="W250" s="89"/>
      <c r="X250" s="89"/>
      <c r="Y250" s="89"/>
      <c r="Z250" s="89"/>
      <c r="AA250" s="89"/>
      <c r="AB250" s="89"/>
    </row>
    <row r="251" spans="3:46" x14ac:dyDescent="0.25">
      <c r="E251" s="32" t="s">
        <v>540</v>
      </c>
      <c r="F251" s="29"/>
      <c r="H251" s="166"/>
      <c r="J251" s="89"/>
      <c r="K251" s="89"/>
      <c r="L251" s="89"/>
      <c r="M251" s="89"/>
      <c r="N251" s="89"/>
      <c r="O251" s="89"/>
      <c r="P251" s="89"/>
      <c r="Q251" s="89"/>
      <c r="R251" s="89"/>
      <c r="S251" s="89"/>
      <c r="T251" s="89"/>
      <c r="U251" s="89"/>
      <c r="V251" s="89"/>
      <c r="W251" s="89"/>
      <c r="X251" s="89"/>
      <c r="Y251" s="89"/>
      <c r="Z251" s="89"/>
      <c r="AA251" s="89"/>
      <c r="AB251" s="89"/>
    </row>
    <row r="252" spans="3:46" x14ac:dyDescent="0.25">
      <c r="C252" s="32"/>
      <c r="F252" s="23" t="s">
        <v>190</v>
      </c>
      <c r="G252" s="129" t="s">
        <v>171</v>
      </c>
      <c r="H252" s="129"/>
      <c r="I252" s="23"/>
      <c r="J252" s="158">
        <f t="shared" ref="J252:AB252" si="128">IF(AND(J$192 = 0, J$198), J$200 * J23 * J34 / (1 + $H226) / $H45, 0)</f>
        <v>0</v>
      </c>
      <c r="K252" s="158">
        <f t="shared" si="128"/>
        <v>0</v>
      </c>
      <c r="L252" s="158">
        <f t="shared" si="128"/>
        <v>0</v>
      </c>
      <c r="M252" s="158">
        <f t="shared" si="128"/>
        <v>0</v>
      </c>
      <c r="N252" s="158">
        <f t="shared" si="128"/>
        <v>0</v>
      </c>
      <c r="O252" s="158">
        <f t="shared" si="128"/>
        <v>0</v>
      </c>
      <c r="P252" s="158">
        <f t="shared" si="128"/>
        <v>0</v>
      </c>
      <c r="Q252" s="158">
        <f t="shared" ref="Q252:S252" si="129">IF(AND(Q$192 = 0, Q$198), Q$200 * Q23 * Q34 / (1 + $H226) / $H45, 0)</f>
        <v>0</v>
      </c>
      <c r="R252" s="158">
        <f t="shared" si="129"/>
        <v>0</v>
      </c>
      <c r="S252" s="158">
        <f t="shared" si="129"/>
        <v>0</v>
      </c>
      <c r="T252" s="158">
        <f t="shared" si="128"/>
        <v>0</v>
      </c>
      <c r="U252" s="158">
        <f t="shared" si="128"/>
        <v>0</v>
      </c>
      <c r="V252" s="158">
        <f t="shared" si="128"/>
        <v>0</v>
      </c>
      <c r="W252" s="158">
        <f t="shared" si="128"/>
        <v>0</v>
      </c>
      <c r="X252" s="158">
        <f t="shared" si="128"/>
        <v>0</v>
      </c>
      <c r="Y252" s="158">
        <f t="shared" si="128"/>
        <v>0</v>
      </c>
      <c r="Z252" s="158">
        <f t="shared" si="128"/>
        <v>0</v>
      </c>
      <c r="AA252" s="158">
        <f t="shared" si="128"/>
        <v>0</v>
      </c>
      <c r="AB252" s="158">
        <f t="shared" si="128"/>
        <v>0</v>
      </c>
      <c r="AT252" s="3"/>
    </row>
    <row r="253" spans="3:46" x14ac:dyDescent="0.25">
      <c r="C253" s="32"/>
      <c r="F253" t="s">
        <v>191</v>
      </c>
      <c r="G253" s="63" t="s">
        <v>171</v>
      </c>
      <c r="H253" s="63"/>
      <c r="J253" s="89">
        <f t="shared" ref="J253:AB253" si="130">IF(AND(J$192 = 0, J$198), J$200 * J24 * J35 / (1 + $H227) / $H46, 0)</f>
        <v>0</v>
      </c>
      <c r="K253" s="89">
        <f t="shared" si="130"/>
        <v>0</v>
      </c>
      <c r="L253" s="89">
        <f t="shared" si="130"/>
        <v>0</v>
      </c>
      <c r="M253" s="89">
        <f t="shared" si="130"/>
        <v>0</v>
      </c>
      <c r="N253" s="89">
        <f t="shared" si="130"/>
        <v>0</v>
      </c>
      <c r="O253" s="89">
        <f t="shared" si="130"/>
        <v>0</v>
      </c>
      <c r="P253" s="89">
        <f t="shared" si="130"/>
        <v>0</v>
      </c>
      <c r="Q253" s="89">
        <f t="shared" ref="Q253:S253" si="131">IF(AND(Q$192 = 0, Q$198), Q$200 * Q24 * Q35 / (1 + $H227) / $H46, 0)</f>
        <v>0</v>
      </c>
      <c r="R253" s="89">
        <f t="shared" si="131"/>
        <v>0</v>
      </c>
      <c r="S253" s="89">
        <f t="shared" si="131"/>
        <v>0</v>
      </c>
      <c r="T253" s="89">
        <f t="shared" si="130"/>
        <v>0</v>
      </c>
      <c r="U253" s="89">
        <f t="shared" si="130"/>
        <v>0</v>
      </c>
      <c r="V253" s="89">
        <f t="shared" si="130"/>
        <v>0</v>
      </c>
      <c r="W253" s="89">
        <f t="shared" si="130"/>
        <v>0</v>
      </c>
      <c r="X253" s="89">
        <f t="shared" si="130"/>
        <v>0</v>
      </c>
      <c r="Y253" s="89">
        <f t="shared" si="130"/>
        <v>0</v>
      </c>
      <c r="Z253" s="89">
        <f t="shared" si="130"/>
        <v>0</v>
      </c>
      <c r="AA253" s="89">
        <f t="shared" si="130"/>
        <v>0</v>
      </c>
      <c r="AB253" s="89">
        <f t="shared" si="130"/>
        <v>0</v>
      </c>
      <c r="AT253" s="3"/>
    </row>
    <row r="254" spans="3:46" x14ac:dyDescent="0.25">
      <c r="C254" s="32"/>
      <c r="F254" t="s">
        <v>192</v>
      </c>
      <c r="G254" s="63" t="s">
        <v>171</v>
      </c>
      <c r="H254" s="63"/>
      <c r="J254" s="89">
        <f t="shared" ref="J254:AB254" si="132">IF(AND(J$192 = 0, J$198), J$200 * J25 * J36 / (1 + $H228) / $H47, 0)</f>
        <v>0</v>
      </c>
      <c r="K254" s="89">
        <f t="shared" si="132"/>
        <v>0</v>
      </c>
      <c r="L254" s="89">
        <f t="shared" si="132"/>
        <v>0</v>
      </c>
      <c r="M254" s="89">
        <f t="shared" si="132"/>
        <v>0</v>
      </c>
      <c r="N254" s="89">
        <f t="shared" si="132"/>
        <v>0</v>
      </c>
      <c r="O254" s="89">
        <f t="shared" si="132"/>
        <v>0</v>
      </c>
      <c r="P254" s="89">
        <f t="shared" si="132"/>
        <v>0</v>
      </c>
      <c r="Q254" s="89">
        <f t="shared" ref="Q254:S254" si="133">IF(AND(Q$192 = 0, Q$198), Q$200 * Q25 * Q36 / (1 + $H228) / $H47, 0)</f>
        <v>0</v>
      </c>
      <c r="R254" s="89">
        <f t="shared" si="133"/>
        <v>0</v>
      </c>
      <c r="S254" s="89">
        <f t="shared" si="133"/>
        <v>0</v>
      </c>
      <c r="T254" s="89">
        <f t="shared" si="132"/>
        <v>0</v>
      </c>
      <c r="U254" s="89">
        <f t="shared" si="132"/>
        <v>0</v>
      </c>
      <c r="V254" s="89">
        <f t="shared" si="132"/>
        <v>0</v>
      </c>
      <c r="W254" s="89">
        <f t="shared" si="132"/>
        <v>0</v>
      </c>
      <c r="X254" s="89">
        <f t="shared" si="132"/>
        <v>0</v>
      </c>
      <c r="Y254" s="89">
        <f t="shared" si="132"/>
        <v>0</v>
      </c>
      <c r="Z254" s="89">
        <f t="shared" si="132"/>
        <v>0</v>
      </c>
      <c r="AA254" s="89">
        <f t="shared" si="132"/>
        <v>0</v>
      </c>
      <c r="AB254" s="89">
        <f t="shared" si="132"/>
        <v>0</v>
      </c>
      <c r="AT254" s="3"/>
    </row>
    <row r="255" spans="3:46" x14ac:dyDescent="0.25">
      <c r="C255" s="32"/>
      <c r="F255" t="s">
        <v>193</v>
      </c>
      <c r="G255" s="63" t="s">
        <v>171</v>
      </c>
      <c r="H255" s="63"/>
      <c r="J255" s="89">
        <f t="shared" ref="J255:AB255" si="134">IF(AND(J$192 = 0, J$198), J$200 * J26 * J37 / (1 + $H229) / $H48, 0)</f>
        <v>0</v>
      </c>
      <c r="K255" s="89">
        <f t="shared" si="134"/>
        <v>0</v>
      </c>
      <c r="L255" s="89">
        <f t="shared" si="134"/>
        <v>0</v>
      </c>
      <c r="M255" s="89">
        <f t="shared" si="134"/>
        <v>0</v>
      </c>
      <c r="N255" s="89">
        <f t="shared" si="134"/>
        <v>0</v>
      </c>
      <c r="O255" s="89">
        <f t="shared" si="134"/>
        <v>0</v>
      </c>
      <c r="P255" s="89">
        <f t="shared" si="134"/>
        <v>0</v>
      </c>
      <c r="Q255" s="89">
        <f t="shared" ref="Q255:S255" si="135">IF(AND(Q$192 = 0, Q$198), Q$200 * Q26 * Q37 / (1 + $H229) / $H48, 0)</f>
        <v>0</v>
      </c>
      <c r="R255" s="89">
        <f t="shared" si="135"/>
        <v>0</v>
      </c>
      <c r="S255" s="89">
        <f t="shared" si="135"/>
        <v>0</v>
      </c>
      <c r="T255" s="89">
        <f t="shared" si="134"/>
        <v>0</v>
      </c>
      <c r="U255" s="89">
        <f t="shared" si="134"/>
        <v>0</v>
      </c>
      <c r="V255" s="89">
        <f t="shared" si="134"/>
        <v>0</v>
      </c>
      <c r="W255" s="89">
        <f t="shared" si="134"/>
        <v>0</v>
      </c>
      <c r="X255" s="89">
        <f t="shared" si="134"/>
        <v>0</v>
      </c>
      <c r="Y255" s="89">
        <f t="shared" si="134"/>
        <v>0</v>
      </c>
      <c r="Z255" s="89">
        <f t="shared" si="134"/>
        <v>0</v>
      </c>
      <c r="AA255" s="89">
        <f t="shared" si="134"/>
        <v>0</v>
      </c>
      <c r="AB255" s="89">
        <f t="shared" si="134"/>
        <v>0</v>
      </c>
      <c r="AT255" s="3"/>
    </row>
    <row r="256" spans="3:46" x14ac:dyDescent="0.25">
      <c r="C256" s="32"/>
      <c r="F256" t="s">
        <v>194</v>
      </c>
      <c r="G256" s="63" t="s">
        <v>171</v>
      </c>
      <c r="H256" s="63"/>
      <c r="J256" s="89">
        <f t="shared" ref="J256:AB256" si="136">IF(AND(J$192 = 0, J$198), J$200 * J27 * J38 / (1 + $H230) / $H49, 0)</f>
        <v>0</v>
      </c>
      <c r="K256" s="89">
        <f t="shared" si="136"/>
        <v>0</v>
      </c>
      <c r="L256" s="89">
        <f t="shared" si="136"/>
        <v>0</v>
      </c>
      <c r="M256" s="89">
        <f t="shared" si="136"/>
        <v>0</v>
      </c>
      <c r="N256" s="89">
        <f t="shared" si="136"/>
        <v>0</v>
      </c>
      <c r="O256" s="89">
        <f t="shared" si="136"/>
        <v>0</v>
      </c>
      <c r="P256" s="89">
        <f t="shared" si="136"/>
        <v>0</v>
      </c>
      <c r="Q256" s="89">
        <f t="shared" ref="Q256:S256" si="137">IF(AND(Q$192 = 0, Q$198), Q$200 * Q27 * Q38 / (1 + $H230) / $H49, 0)</f>
        <v>0</v>
      </c>
      <c r="R256" s="89">
        <f t="shared" si="137"/>
        <v>0</v>
      </c>
      <c r="S256" s="89">
        <f t="shared" si="137"/>
        <v>0</v>
      </c>
      <c r="T256" s="89">
        <f t="shared" si="136"/>
        <v>0</v>
      </c>
      <c r="U256" s="89">
        <f t="shared" si="136"/>
        <v>0</v>
      </c>
      <c r="V256" s="89">
        <f t="shared" si="136"/>
        <v>0</v>
      </c>
      <c r="W256" s="89">
        <f t="shared" si="136"/>
        <v>0</v>
      </c>
      <c r="X256" s="89">
        <f t="shared" si="136"/>
        <v>0</v>
      </c>
      <c r="Y256" s="89">
        <f t="shared" si="136"/>
        <v>0</v>
      </c>
      <c r="Z256" s="89">
        <f t="shared" si="136"/>
        <v>0</v>
      </c>
      <c r="AA256" s="89">
        <f t="shared" si="136"/>
        <v>0</v>
      </c>
      <c r="AB256" s="89">
        <f t="shared" si="136"/>
        <v>0</v>
      </c>
      <c r="AT256" s="3"/>
    </row>
    <row r="257" spans="2:46" x14ac:dyDescent="0.25">
      <c r="C257" s="32"/>
      <c r="F257" t="s">
        <v>195</v>
      </c>
      <c r="G257" s="63" t="s">
        <v>171</v>
      </c>
      <c r="H257" s="63"/>
      <c r="J257" s="89">
        <f t="shared" ref="J257:AB257" si="138">IF(AND(J$192 = 0, J$198), J$200 * J28 * J39 / (1 + $H231) / $H50, 0)</f>
        <v>0</v>
      </c>
      <c r="K257" s="89">
        <f t="shared" si="138"/>
        <v>0</v>
      </c>
      <c r="L257" s="89">
        <f t="shared" si="138"/>
        <v>0</v>
      </c>
      <c r="M257" s="89">
        <f t="shared" si="138"/>
        <v>0</v>
      </c>
      <c r="N257" s="89">
        <f t="shared" si="138"/>
        <v>0</v>
      </c>
      <c r="O257" s="89">
        <f t="shared" si="138"/>
        <v>0</v>
      </c>
      <c r="P257" s="89">
        <f t="shared" si="138"/>
        <v>0</v>
      </c>
      <c r="Q257" s="89">
        <f t="shared" ref="Q257:S257" si="139">IF(AND(Q$192 = 0, Q$198), Q$200 * Q28 * Q39 / (1 + $H231) / $H50, 0)</f>
        <v>0</v>
      </c>
      <c r="R257" s="89">
        <f t="shared" si="139"/>
        <v>0</v>
      </c>
      <c r="S257" s="89">
        <f t="shared" si="139"/>
        <v>0</v>
      </c>
      <c r="T257" s="89">
        <f t="shared" si="138"/>
        <v>0</v>
      </c>
      <c r="U257" s="89">
        <f t="shared" si="138"/>
        <v>0</v>
      </c>
      <c r="V257" s="89">
        <f t="shared" si="138"/>
        <v>0</v>
      </c>
      <c r="W257" s="89">
        <f t="shared" si="138"/>
        <v>0</v>
      </c>
      <c r="X257" s="89">
        <f t="shared" si="138"/>
        <v>0</v>
      </c>
      <c r="Y257" s="89">
        <f t="shared" si="138"/>
        <v>0</v>
      </c>
      <c r="Z257" s="89">
        <f t="shared" si="138"/>
        <v>0</v>
      </c>
      <c r="AA257" s="89">
        <f t="shared" si="138"/>
        <v>0</v>
      </c>
      <c r="AB257" s="89">
        <f t="shared" si="138"/>
        <v>0</v>
      </c>
      <c r="AT257" s="3"/>
    </row>
    <row r="258" spans="2:46" x14ac:dyDescent="0.25">
      <c r="C258" s="32"/>
      <c r="F258" t="s">
        <v>196</v>
      </c>
      <c r="G258" s="63" t="s">
        <v>171</v>
      </c>
      <c r="H258" s="63"/>
      <c r="J258" s="89">
        <f t="shared" ref="J258:AB258" si="140">IF(AND(J$192 = 0, J$198), J$200 * J29 * J40 / (1 + $H232) / $H51, 0)</f>
        <v>0</v>
      </c>
      <c r="K258" s="89">
        <f t="shared" si="140"/>
        <v>0</v>
      </c>
      <c r="L258" s="89">
        <f t="shared" si="140"/>
        <v>0</v>
      </c>
      <c r="M258" s="89">
        <f t="shared" si="140"/>
        <v>0</v>
      </c>
      <c r="N258" s="89">
        <f t="shared" si="140"/>
        <v>0</v>
      </c>
      <c r="O258" s="89">
        <f t="shared" si="140"/>
        <v>0</v>
      </c>
      <c r="P258" s="89">
        <f t="shared" si="140"/>
        <v>0</v>
      </c>
      <c r="Q258" s="89">
        <f t="shared" ref="Q258:S258" si="141">IF(AND(Q$192 = 0, Q$198), Q$200 * Q29 * Q40 / (1 + $H232) / $H51, 0)</f>
        <v>0</v>
      </c>
      <c r="R258" s="89">
        <f t="shared" si="141"/>
        <v>0</v>
      </c>
      <c r="S258" s="89">
        <f t="shared" si="141"/>
        <v>0</v>
      </c>
      <c r="T258" s="89">
        <f t="shared" si="140"/>
        <v>0</v>
      </c>
      <c r="U258" s="89">
        <f t="shared" si="140"/>
        <v>0</v>
      </c>
      <c r="V258" s="89">
        <f t="shared" si="140"/>
        <v>0</v>
      </c>
      <c r="W258" s="89">
        <f t="shared" si="140"/>
        <v>0</v>
      </c>
      <c r="X258" s="89">
        <f t="shared" si="140"/>
        <v>0</v>
      </c>
      <c r="Y258" s="89">
        <f t="shared" si="140"/>
        <v>0</v>
      </c>
      <c r="Z258" s="89">
        <f t="shared" si="140"/>
        <v>0</v>
      </c>
      <c r="AA258" s="89">
        <f t="shared" si="140"/>
        <v>0</v>
      </c>
      <c r="AB258" s="89">
        <f t="shared" si="140"/>
        <v>0</v>
      </c>
      <c r="AT258" s="3"/>
    </row>
    <row r="259" spans="2:46" x14ac:dyDescent="0.25">
      <c r="C259" s="32"/>
      <c r="F259" t="s">
        <v>197</v>
      </c>
      <c r="G259" s="63" t="s">
        <v>171</v>
      </c>
      <c r="H259" s="63"/>
      <c r="J259" s="89">
        <f t="shared" ref="J259:AB259" si="142">IF(AND(J$192 = 0, J$198), J$200 * J30 * J41 / (1 + $H233) / $H52, 0)</f>
        <v>0</v>
      </c>
      <c r="K259" s="89">
        <f t="shared" si="142"/>
        <v>0</v>
      </c>
      <c r="L259" s="89">
        <f t="shared" si="142"/>
        <v>0</v>
      </c>
      <c r="M259" s="89">
        <f t="shared" si="142"/>
        <v>0</v>
      </c>
      <c r="N259" s="89">
        <f t="shared" si="142"/>
        <v>0</v>
      </c>
      <c r="O259" s="89">
        <f t="shared" si="142"/>
        <v>0</v>
      </c>
      <c r="P259" s="89">
        <f t="shared" si="142"/>
        <v>0</v>
      </c>
      <c r="Q259" s="89">
        <f t="shared" ref="Q259:S259" si="143">IF(AND(Q$192 = 0, Q$198), Q$200 * Q30 * Q41 / (1 + $H233) / $H52, 0)</f>
        <v>0</v>
      </c>
      <c r="R259" s="89">
        <f t="shared" si="143"/>
        <v>0</v>
      </c>
      <c r="S259" s="89">
        <f t="shared" si="143"/>
        <v>0</v>
      </c>
      <c r="T259" s="89">
        <f t="shared" si="142"/>
        <v>0</v>
      </c>
      <c r="U259" s="89">
        <f t="shared" si="142"/>
        <v>0</v>
      </c>
      <c r="V259" s="89">
        <f t="shared" si="142"/>
        <v>0</v>
      </c>
      <c r="W259" s="89">
        <f t="shared" si="142"/>
        <v>0</v>
      </c>
      <c r="X259" s="89">
        <f t="shared" si="142"/>
        <v>0</v>
      </c>
      <c r="Y259" s="89">
        <f t="shared" si="142"/>
        <v>0</v>
      </c>
      <c r="Z259" s="89">
        <f t="shared" si="142"/>
        <v>0</v>
      </c>
      <c r="AA259" s="89">
        <f t="shared" si="142"/>
        <v>0</v>
      </c>
      <c r="AB259" s="89">
        <f t="shared" si="142"/>
        <v>0</v>
      </c>
      <c r="AT259" s="3"/>
    </row>
    <row r="260" spans="2:46" x14ac:dyDescent="0.25">
      <c r="C260" s="32"/>
      <c r="F260" s="37" t="s">
        <v>198</v>
      </c>
      <c r="G260" s="130" t="s">
        <v>171</v>
      </c>
      <c r="H260" s="130"/>
      <c r="I260" s="37"/>
      <c r="J260" s="82">
        <f t="shared" ref="J260:AB260" si="144">IF(AND(J$192 = 0, J$198), J$200 * J31 * J42 / (1 + $H234) / $H53, 0)</f>
        <v>896.89529828668515</v>
      </c>
      <c r="K260" s="82">
        <f t="shared" si="144"/>
        <v>0</v>
      </c>
      <c r="L260" s="82">
        <f t="shared" si="144"/>
        <v>364.93695586224828</v>
      </c>
      <c r="M260" s="82">
        <f t="shared" si="144"/>
        <v>0</v>
      </c>
      <c r="N260" s="82">
        <f t="shared" si="144"/>
        <v>0</v>
      </c>
      <c r="O260" s="82">
        <f t="shared" si="144"/>
        <v>0</v>
      </c>
      <c r="P260" s="82">
        <f t="shared" si="144"/>
        <v>0</v>
      </c>
      <c r="Q260" s="82">
        <f t="shared" ref="Q260:S260" si="145">IF(AND(Q$192 = 0, Q$198), Q$200 * Q31 * Q42 / (1 + $H234) / $H53, 0)</f>
        <v>0</v>
      </c>
      <c r="R260" s="82">
        <f t="shared" si="145"/>
        <v>0</v>
      </c>
      <c r="S260" s="82">
        <f t="shared" si="145"/>
        <v>0</v>
      </c>
      <c r="T260" s="82">
        <f t="shared" si="144"/>
        <v>0</v>
      </c>
      <c r="U260" s="82">
        <f t="shared" si="144"/>
        <v>0</v>
      </c>
      <c r="V260" s="82">
        <f t="shared" si="144"/>
        <v>0</v>
      </c>
      <c r="W260" s="82">
        <f t="shared" si="144"/>
        <v>0</v>
      </c>
      <c r="X260" s="82">
        <f t="shared" si="144"/>
        <v>0</v>
      </c>
      <c r="Y260" s="82">
        <f t="shared" si="144"/>
        <v>0</v>
      </c>
      <c r="Z260" s="82">
        <f t="shared" si="144"/>
        <v>0</v>
      </c>
      <c r="AA260" s="82">
        <f t="shared" si="144"/>
        <v>0</v>
      </c>
      <c r="AB260" s="82">
        <f t="shared" si="144"/>
        <v>0</v>
      </c>
      <c r="AT260" s="3"/>
    </row>
    <row r="261" spans="2:46" x14ac:dyDescent="0.25">
      <c r="H261" s="166"/>
    </row>
    <row r="262" spans="2:46" x14ac:dyDescent="0.25">
      <c r="B262" s="30" t="s">
        <v>541</v>
      </c>
      <c r="C262" s="30"/>
      <c r="D262" s="30"/>
      <c r="E262" s="30"/>
      <c r="F262" s="30"/>
      <c r="G262" s="30"/>
      <c r="H262" s="30"/>
      <c r="I262" s="30"/>
      <c r="J262" s="30"/>
      <c r="K262" s="30"/>
      <c r="L262" s="30"/>
      <c r="M262" s="30"/>
      <c r="N262" s="30"/>
      <c r="O262" s="30"/>
      <c r="P262" s="30"/>
      <c r="Q262" s="30"/>
      <c r="R262" s="30"/>
      <c r="S262" s="30"/>
      <c r="T262" s="30"/>
      <c r="U262" s="30"/>
      <c r="V262" s="30"/>
      <c r="W262" s="30"/>
      <c r="X262" s="30"/>
      <c r="Y262" s="30"/>
      <c r="Z262" s="30"/>
      <c r="AA262" s="30"/>
      <c r="AB262" s="30"/>
      <c r="AC262" s="30"/>
      <c r="AD262" s="30"/>
      <c r="AT262" s="3"/>
    </row>
    <row r="263" spans="2:46" x14ac:dyDescent="0.25">
      <c r="H263" s="166"/>
      <c r="J263" s="63"/>
      <c r="K263" s="63"/>
      <c r="L263" s="63"/>
      <c r="M263" s="63"/>
      <c r="N263" s="63"/>
      <c r="O263" s="63"/>
      <c r="P263" s="63"/>
      <c r="Q263" s="63"/>
      <c r="R263" s="63"/>
      <c r="S263" s="63"/>
      <c r="T263" s="63"/>
      <c r="U263" s="63"/>
      <c r="V263" s="63"/>
      <c r="W263" s="63"/>
      <c r="X263" s="63"/>
      <c r="Y263" s="63"/>
      <c r="Z263" s="63"/>
      <c r="AA263" s="63"/>
      <c r="AB263" s="63"/>
    </row>
    <row r="264" spans="2:46" x14ac:dyDescent="0.25">
      <c r="C264" s="29" t="s">
        <v>542</v>
      </c>
      <c r="H264" s="166"/>
      <c r="J264" s="63"/>
      <c r="K264" s="63"/>
      <c r="L264" s="63"/>
      <c r="M264" s="63"/>
      <c r="N264" s="63"/>
      <c r="O264" s="63"/>
      <c r="P264" s="63"/>
      <c r="Q264" s="63"/>
      <c r="R264" s="63"/>
      <c r="S264" s="63"/>
      <c r="T264" s="63"/>
      <c r="U264" s="63"/>
      <c r="V264" s="63"/>
      <c r="W264" s="63"/>
      <c r="X264" s="63"/>
      <c r="Y264" s="63"/>
      <c r="Z264" s="63"/>
      <c r="AA264" s="63"/>
      <c r="AB264" s="63"/>
    </row>
    <row r="265" spans="2:46" x14ac:dyDescent="0.25">
      <c r="H265" s="166"/>
      <c r="J265" s="63"/>
      <c r="K265" s="63"/>
      <c r="L265" s="63"/>
      <c r="M265" s="63"/>
      <c r="N265" s="63"/>
      <c r="O265" s="63"/>
      <c r="P265" s="63"/>
      <c r="Q265" s="63"/>
      <c r="R265" s="63"/>
      <c r="S265" s="63"/>
      <c r="T265" s="63"/>
      <c r="U265" s="63"/>
      <c r="V265" s="63"/>
      <c r="W265" s="63"/>
      <c r="X265" s="63"/>
      <c r="Y265" s="63"/>
      <c r="Z265" s="63"/>
      <c r="AA265" s="63"/>
      <c r="AB265" s="63"/>
    </row>
    <row r="266" spans="2:46" x14ac:dyDescent="0.25">
      <c r="C266" s="31" t="str">
        <f ca="1">INDEX('Version control'!$H$34:$H$57,MATCH($A$1,'Version control'!$F$34:$F$57,0),1)&amp;"-I: System peak based on chargeable load"</f>
        <v>Section 106-I: System peak based on chargeable load</v>
      </c>
      <c r="D266" s="31"/>
      <c r="E266" s="31"/>
      <c r="F266" s="31"/>
      <c r="G266" s="31"/>
      <c r="H266" s="31"/>
      <c r="I266" s="31"/>
      <c r="J266" s="31"/>
      <c r="K266" s="31"/>
      <c r="L266" s="31"/>
      <c r="M266" s="31"/>
      <c r="N266" s="31"/>
      <c r="O266" s="31"/>
      <c r="P266" s="31"/>
      <c r="Q266" s="31"/>
      <c r="R266" s="31"/>
      <c r="S266" s="31"/>
      <c r="T266" s="31"/>
      <c r="U266" s="31"/>
      <c r="V266" s="31"/>
      <c r="W266" s="31"/>
      <c r="X266" s="31"/>
      <c r="Y266" s="31"/>
      <c r="Z266" s="31"/>
      <c r="AA266" s="31"/>
      <c r="AB266" s="31"/>
      <c r="AC266" s="31"/>
      <c r="AD266" s="31"/>
      <c r="AT266" s="3"/>
    </row>
    <row r="267" spans="2:46" x14ac:dyDescent="0.25">
      <c r="H267" s="166"/>
    </row>
    <row r="268" spans="2:46" x14ac:dyDescent="0.25">
      <c r="E268" s="32" t="s">
        <v>543</v>
      </c>
      <c r="F268" s="29"/>
      <c r="H268" s="173" t="s">
        <v>544</v>
      </c>
      <c r="J268" s="63"/>
      <c r="K268" s="63"/>
      <c r="L268" s="63"/>
      <c r="M268" s="63"/>
      <c r="N268" s="63"/>
      <c r="O268" s="63"/>
      <c r="P268" s="63"/>
      <c r="Q268" s="63"/>
      <c r="R268" s="63"/>
      <c r="S268" s="63"/>
      <c r="T268" s="63"/>
      <c r="U268" s="63"/>
      <c r="V268" s="63"/>
      <c r="W268" s="63"/>
      <c r="X268" s="63"/>
      <c r="Y268" s="63"/>
      <c r="Z268" s="63"/>
      <c r="AA268" s="63"/>
      <c r="AB268" s="63"/>
    </row>
    <row r="269" spans="2:46" x14ac:dyDescent="0.25">
      <c r="C269" s="32"/>
      <c r="F269" s="23" t="s">
        <v>190</v>
      </c>
      <c r="G269" s="23" t="s">
        <v>171</v>
      </c>
      <c r="H269" s="101">
        <f t="shared" ref="H269:H277" si="146">SUM(J269:AB269)</f>
        <v>2767.0013761619662</v>
      </c>
      <c r="I269" s="158"/>
      <c r="J269" s="158">
        <f t="shared" ref="J269:AB269" si="147">J239 + J252 + J168</f>
        <v>1386.4713030543721</v>
      </c>
      <c r="K269" s="158">
        <f t="shared" si="147"/>
        <v>5.1559980267560368</v>
      </c>
      <c r="L269" s="158">
        <f t="shared" si="147"/>
        <v>456.91138811350123</v>
      </c>
      <c r="M269" s="158">
        <f t="shared" si="147"/>
        <v>10.519747246525604</v>
      </c>
      <c r="N269" s="158">
        <f t="shared" si="147"/>
        <v>508.24426379200531</v>
      </c>
      <c r="O269" s="158">
        <f t="shared" si="147"/>
        <v>33.512184297916328</v>
      </c>
      <c r="P269" s="158">
        <f t="shared" si="147"/>
        <v>473.35255653173618</v>
      </c>
      <c r="Q269" s="158">
        <f t="shared" ref="Q269:S269" si="148">Q239 + Q252 + Q168</f>
        <v>0</v>
      </c>
      <c r="R269" s="158">
        <f t="shared" si="148"/>
        <v>0</v>
      </c>
      <c r="S269" s="158">
        <f t="shared" si="148"/>
        <v>0</v>
      </c>
      <c r="T269" s="158">
        <f t="shared" si="147"/>
        <v>49.020815047446781</v>
      </c>
      <c r="U269" s="158">
        <f t="shared" si="147"/>
        <v>-0.19766654104724962</v>
      </c>
      <c r="V269" s="158">
        <f t="shared" si="147"/>
        <v>-3.780660295578114E-3</v>
      </c>
      <c r="W269" s="158">
        <f t="shared" si="147"/>
        <v>-8.6550262997882239</v>
      </c>
      <c r="X269" s="158">
        <f t="shared" si="147"/>
        <v>0</v>
      </c>
      <c r="Y269" s="158">
        <f t="shared" si="147"/>
        <v>-0.19011168964667813</v>
      </c>
      <c r="Z269" s="158">
        <f t="shared" si="147"/>
        <v>0</v>
      </c>
      <c r="AA269" s="158">
        <f t="shared" si="147"/>
        <v>-147.1402947575167</v>
      </c>
      <c r="AB269" s="158">
        <f t="shared" si="147"/>
        <v>0</v>
      </c>
      <c r="AT269" s="3"/>
    </row>
    <row r="270" spans="2:46" x14ac:dyDescent="0.25">
      <c r="C270" s="32"/>
      <c r="F270" t="s">
        <v>191</v>
      </c>
      <c r="G270" t="s">
        <v>171</v>
      </c>
      <c r="H270" s="121">
        <f t="shared" si="146"/>
        <v>0</v>
      </c>
      <c r="I270" s="89"/>
      <c r="J270" s="89">
        <f t="shared" ref="J270:AB270" si="149">J240 + J253 + J169</f>
        <v>0</v>
      </c>
      <c r="K270" s="89">
        <f t="shared" si="149"/>
        <v>0</v>
      </c>
      <c r="L270" s="89">
        <f t="shared" si="149"/>
        <v>0</v>
      </c>
      <c r="M270" s="89">
        <f t="shared" si="149"/>
        <v>0</v>
      </c>
      <c r="N270" s="89">
        <f t="shared" si="149"/>
        <v>0</v>
      </c>
      <c r="O270" s="89">
        <f t="shared" si="149"/>
        <v>0</v>
      </c>
      <c r="P270" s="89">
        <f t="shared" si="149"/>
        <v>0</v>
      </c>
      <c r="Q270" s="89">
        <f t="shared" ref="Q270:S270" si="150">Q240 + Q253 + Q169</f>
        <v>0</v>
      </c>
      <c r="R270" s="89">
        <f t="shared" si="150"/>
        <v>0</v>
      </c>
      <c r="S270" s="89">
        <f t="shared" si="150"/>
        <v>0</v>
      </c>
      <c r="T270" s="89">
        <f t="shared" si="149"/>
        <v>0</v>
      </c>
      <c r="U270" s="89">
        <f t="shared" si="149"/>
        <v>0</v>
      </c>
      <c r="V270" s="89">
        <f t="shared" si="149"/>
        <v>0</v>
      </c>
      <c r="W270" s="89">
        <f t="shared" si="149"/>
        <v>0</v>
      </c>
      <c r="X270" s="89">
        <f t="shared" si="149"/>
        <v>0</v>
      </c>
      <c r="Y270" s="89">
        <f t="shared" si="149"/>
        <v>0</v>
      </c>
      <c r="Z270" s="89">
        <f t="shared" si="149"/>
        <v>0</v>
      </c>
      <c r="AA270" s="89">
        <f t="shared" si="149"/>
        <v>0</v>
      </c>
      <c r="AB270" s="89">
        <f t="shared" si="149"/>
        <v>0</v>
      </c>
      <c r="AT270" s="3"/>
    </row>
    <row r="271" spans="2:46" x14ac:dyDescent="0.25">
      <c r="C271" s="32"/>
      <c r="F271" t="s">
        <v>192</v>
      </c>
      <c r="G271" t="s">
        <v>171</v>
      </c>
      <c r="H271" s="121">
        <f t="shared" si="146"/>
        <v>0</v>
      </c>
      <c r="I271" s="89"/>
      <c r="J271" s="89">
        <f t="shared" ref="J271:AB271" si="151">J241 + J254 + J170</f>
        <v>0</v>
      </c>
      <c r="K271" s="89">
        <f t="shared" si="151"/>
        <v>0</v>
      </c>
      <c r="L271" s="89">
        <f t="shared" si="151"/>
        <v>0</v>
      </c>
      <c r="M271" s="89">
        <f t="shared" si="151"/>
        <v>0</v>
      </c>
      <c r="N271" s="89">
        <f t="shared" si="151"/>
        <v>0</v>
      </c>
      <c r="O271" s="89">
        <f t="shared" si="151"/>
        <v>0</v>
      </c>
      <c r="P271" s="89">
        <f t="shared" si="151"/>
        <v>0</v>
      </c>
      <c r="Q271" s="89">
        <f t="shared" ref="Q271:S271" si="152">Q241 + Q254 + Q170</f>
        <v>0</v>
      </c>
      <c r="R271" s="89">
        <f t="shared" si="152"/>
        <v>0</v>
      </c>
      <c r="S271" s="89">
        <f t="shared" si="152"/>
        <v>0</v>
      </c>
      <c r="T271" s="89">
        <f t="shared" si="151"/>
        <v>0</v>
      </c>
      <c r="U271" s="89">
        <f t="shared" si="151"/>
        <v>0</v>
      </c>
      <c r="V271" s="89">
        <f t="shared" si="151"/>
        <v>0</v>
      </c>
      <c r="W271" s="89">
        <f t="shared" si="151"/>
        <v>0</v>
      </c>
      <c r="X271" s="89">
        <f t="shared" si="151"/>
        <v>0</v>
      </c>
      <c r="Y271" s="89">
        <f t="shared" si="151"/>
        <v>0</v>
      </c>
      <c r="Z271" s="89">
        <f t="shared" si="151"/>
        <v>0</v>
      </c>
      <c r="AA271" s="89">
        <f t="shared" si="151"/>
        <v>0</v>
      </c>
      <c r="AB271" s="89">
        <f t="shared" si="151"/>
        <v>0</v>
      </c>
      <c r="AT271" s="3"/>
    </row>
    <row r="272" spans="2:46" x14ac:dyDescent="0.25">
      <c r="C272" s="32"/>
      <c r="F272" t="s">
        <v>193</v>
      </c>
      <c r="G272" t="s">
        <v>171</v>
      </c>
      <c r="H272" s="121">
        <f t="shared" si="146"/>
        <v>2865.0040283979379</v>
      </c>
      <c r="I272" s="89"/>
      <c r="J272" s="89">
        <f t="shared" ref="J272:AB272" si="153">J242 + J255 + J171</f>
        <v>1380.9475130023627</v>
      </c>
      <c r="K272" s="89">
        <f t="shared" si="153"/>
        <v>5.1354562019482444</v>
      </c>
      <c r="L272" s="89">
        <f t="shared" si="153"/>
        <v>455.09102401743155</v>
      </c>
      <c r="M272" s="89">
        <f t="shared" si="153"/>
        <v>10.477835902913949</v>
      </c>
      <c r="N272" s="89">
        <f t="shared" si="153"/>
        <v>506.21938624701716</v>
      </c>
      <c r="O272" s="89">
        <f t="shared" si="153"/>
        <v>33.378669619438575</v>
      </c>
      <c r="P272" s="89">
        <f t="shared" si="153"/>
        <v>580.49325187380612</v>
      </c>
      <c r="Q272" s="89">
        <f t="shared" ref="Q272:S272" si="154">Q242 + Q255 + Q171</f>
        <v>0</v>
      </c>
      <c r="R272" s="89">
        <f t="shared" si="154"/>
        <v>0</v>
      </c>
      <c r="S272" s="89">
        <f t="shared" si="154"/>
        <v>0</v>
      </c>
      <c r="T272" s="89">
        <f t="shared" si="153"/>
        <v>48.825512995464919</v>
      </c>
      <c r="U272" s="89">
        <f t="shared" si="153"/>
        <v>-0.19687902494745976</v>
      </c>
      <c r="V272" s="89">
        <f t="shared" si="153"/>
        <v>-3.7655979039622647E-3</v>
      </c>
      <c r="W272" s="89">
        <f t="shared" si="153"/>
        <v>-8.6205441232950459</v>
      </c>
      <c r="X272" s="89">
        <f t="shared" si="153"/>
        <v>0</v>
      </c>
      <c r="Y272" s="89">
        <f t="shared" si="153"/>
        <v>-0.18935427255645229</v>
      </c>
      <c r="Z272" s="89">
        <f t="shared" si="153"/>
        <v>0</v>
      </c>
      <c r="AA272" s="89">
        <f t="shared" si="153"/>
        <v>-146.5540784437417</v>
      </c>
      <c r="AB272" s="89">
        <f t="shared" si="153"/>
        <v>0</v>
      </c>
      <c r="AT272" s="3"/>
    </row>
    <row r="273" spans="2:46" x14ac:dyDescent="0.25">
      <c r="C273" s="32"/>
      <c r="F273" t="s">
        <v>194</v>
      </c>
      <c r="G273" t="s">
        <v>171</v>
      </c>
      <c r="H273" s="121">
        <f t="shared" si="146"/>
        <v>3255.1178687895863</v>
      </c>
      <c r="I273" s="89"/>
      <c r="J273" s="89">
        <f t="shared" ref="J273:AB273" si="155">J243 + J256 + J172</f>
        <v>1340.6027834875406</v>
      </c>
      <c r="K273" s="89">
        <f t="shared" si="155"/>
        <v>6.5292680001366268</v>
      </c>
      <c r="L273" s="89">
        <f t="shared" si="155"/>
        <v>458.96847224010537</v>
      </c>
      <c r="M273" s="89">
        <f t="shared" si="155"/>
        <v>10.790897115397559</v>
      </c>
      <c r="N273" s="89">
        <f t="shared" si="155"/>
        <v>504.21711042252076</v>
      </c>
      <c r="O273" s="89">
        <f t="shared" si="155"/>
        <v>33.202385739680942</v>
      </c>
      <c r="P273" s="89">
        <f t="shared" si="155"/>
        <v>1007.567520512894</v>
      </c>
      <c r="Q273" s="89">
        <f t="shared" ref="Q273:S273" si="156">Q243 + Q256 + Q172</f>
        <v>0</v>
      </c>
      <c r="R273" s="89">
        <f t="shared" si="156"/>
        <v>0</v>
      </c>
      <c r="S273" s="89">
        <f t="shared" si="156"/>
        <v>0</v>
      </c>
      <c r="T273" s="89">
        <f t="shared" si="155"/>
        <v>45.577557390515508</v>
      </c>
      <c r="U273" s="89">
        <f t="shared" si="155"/>
        <v>-0.19531065209196408</v>
      </c>
      <c r="V273" s="89">
        <f t="shared" si="155"/>
        <v>-3.7132236810808032E-3</v>
      </c>
      <c r="W273" s="89">
        <f t="shared" si="155"/>
        <v>-8.5526273377054132</v>
      </c>
      <c r="X273" s="89">
        <f t="shared" si="155"/>
        <v>0</v>
      </c>
      <c r="Y273" s="89">
        <f t="shared" si="155"/>
        <v>-0.18676271987373558</v>
      </c>
      <c r="Z273" s="89">
        <f t="shared" si="155"/>
        <v>0</v>
      </c>
      <c r="AA273" s="89">
        <f t="shared" si="155"/>
        <v>-143.3997121858535</v>
      </c>
      <c r="AB273" s="89">
        <f t="shared" si="155"/>
        <v>0</v>
      </c>
      <c r="AT273" s="3"/>
    </row>
    <row r="274" spans="2:46" x14ac:dyDescent="0.25">
      <c r="C274" s="32"/>
      <c r="F274" t="s">
        <v>195</v>
      </c>
      <c r="G274" t="s">
        <v>171</v>
      </c>
      <c r="H274" s="121">
        <f t="shared" si="146"/>
        <v>0</v>
      </c>
      <c r="I274" s="89"/>
      <c r="J274" s="89">
        <f t="shared" ref="J274:AB274" si="157">J244 + J257 + J173</f>
        <v>0</v>
      </c>
      <c r="K274" s="89">
        <f t="shared" si="157"/>
        <v>0</v>
      </c>
      <c r="L274" s="89">
        <f t="shared" si="157"/>
        <v>0</v>
      </c>
      <c r="M274" s="89">
        <f t="shared" si="157"/>
        <v>0</v>
      </c>
      <c r="N274" s="89">
        <f t="shared" si="157"/>
        <v>0</v>
      </c>
      <c r="O274" s="89">
        <f t="shared" si="157"/>
        <v>0</v>
      </c>
      <c r="P274" s="89">
        <f t="shared" si="157"/>
        <v>0</v>
      </c>
      <c r="Q274" s="89">
        <f t="shared" ref="Q274:S274" si="158">Q244 + Q257 + Q173</f>
        <v>0</v>
      </c>
      <c r="R274" s="89">
        <f t="shared" si="158"/>
        <v>0</v>
      </c>
      <c r="S274" s="89">
        <f t="shared" si="158"/>
        <v>0</v>
      </c>
      <c r="T274" s="89">
        <f t="shared" si="157"/>
        <v>0</v>
      </c>
      <c r="U274" s="89">
        <f t="shared" si="157"/>
        <v>0</v>
      </c>
      <c r="V274" s="89">
        <f t="shared" si="157"/>
        <v>0</v>
      </c>
      <c r="W274" s="89">
        <f t="shared" si="157"/>
        <v>0</v>
      </c>
      <c r="X274" s="89">
        <f t="shared" si="157"/>
        <v>0</v>
      </c>
      <c r="Y274" s="89">
        <f t="shared" si="157"/>
        <v>0</v>
      </c>
      <c r="Z274" s="89">
        <f t="shared" si="157"/>
        <v>0</v>
      </c>
      <c r="AA274" s="89">
        <f t="shared" si="157"/>
        <v>0</v>
      </c>
      <c r="AB274" s="89">
        <f t="shared" si="157"/>
        <v>0</v>
      </c>
      <c r="AT274" s="3"/>
    </row>
    <row r="275" spans="2:46" x14ac:dyDescent="0.25">
      <c r="C275" s="32"/>
      <c r="F275" t="s">
        <v>196</v>
      </c>
      <c r="G275" t="s">
        <v>171</v>
      </c>
      <c r="H275" s="121">
        <f t="shared" si="146"/>
        <v>3285.3534591398243</v>
      </c>
      <c r="I275" s="89"/>
      <c r="J275" s="89">
        <f t="shared" ref="J275:AB275" si="159">J245 + J258 + J174</f>
        <v>1323.616588375125</v>
      </c>
      <c r="K275" s="89">
        <f t="shared" si="159"/>
        <v>6.4465384835656936</v>
      </c>
      <c r="L275" s="89">
        <f t="shared" si="159"/>
        <v>453.15308224096168</v>
      </c>
      <c r="M275" s="89">
        <f t="shared" si="159"/>
        <v>10.654170348828194</v>
      </c>
      <c r="N275" s="89">
        <f t="shared" si="159"/>
        <v>596.4061906407976</v>
      </c>
      <c r="O275" s="89">
        <f t="shared" si="159"/>
        <v>63.061127894837981</v>
      </c>
      <c r="P275" s="89">
        <f t="shared" si="159"/>
        <v>795.84085635833264</v>
      </c>
      <c r="Q275" s="89">
        <f t="shared" ref="Q275:S275" si="160">Q245 + Q258 + Q174</f>
        <v>0</v>
      </c>
      <c r="R275" s="89">
        <f t="shared" si="160"/>
        <v>0</v>
      </c>
      <c r="S275" s="89">
        <f t="shared" si="160"/>
        <v>0</v>
      </c>
      <c r="T275" s="89">
        <f t="shared" si="159"/>
        <v>45.00006397328675</v>
      </c>
      <c r="U275" s="89">
        <f t="shared" si="159"/>
        <v>-0.19283595572042844</v>
      </c>
      <c r="V275" s="89">
        <f t="shared" si="159"/>
        <v>-3.6661750379482E-3</v>
      </c>
      <c r="W275" s="89">
        <f t="shared" si="159"/>
        <v>-8.4442607145181121</v>
      </c>
      <c r="X275" s="89">
        <f t="shared" si="159"/>
        <v>0</v>
      </c>
      <c r="Y275" s="89">
        <f t="shared" si="159"/>
        <v>-0.18439633063556929</v>
      </c>
      <c r="Z275" s="89">
        <f t="shared" si="159"/>
        <v>0</v>
      </c>
      <c r="AA275" s="89">
        <f t="shared" si="159"/>
        <v>0</v>
      </c>
      <c r="AB275" s="89">
        <f t="shared" si="159"/>
        <v>0</v>
      </c>
      <c r="AT275" s="3"/>
    </row>
    <row r="276" spans="2:46" x14ac:dyDescent="0.25">
      <c r="C276" s="32"/>
      <c r="F276" t="s">
        <v>197</v>
      </c>
      <c r="G276" t="s">
        <v>171</v>
      </c>
      <c r="H276" s="121">
        <f t="shared" si="146"/>
        <v>2834.2875072245301</v>
      </c>
      <c r="I276" s="89"/>
      <c r="J276" s="89">
        <f t="shared" ref="J276:AB276" si="161">J246 + J259 + J175</f>
        <v>1300.7956127134848</v>
      </c>
      <c r="K276" s="89">
        <f t="shared" si="161"/>
        <v>6.3353912683318026</v>
      </c>
      <c r="L276" s="89">
        <f t="shared" si="161"/>
        <v>445.34009806439332</v>
      </c>
      <c r="M276" s="89">
        <f t="shared" si="161"/>
        <v>10.470477756607018</v>
      </c>
      <c r="N276" s="89">
        <f t="shared" si="161"/>
        <v>973.6360407617218</v>
      </c>
      <c r="O276" s="89">
        <f t="shared" si="161"/>
        <v>61.973867069064909</v>
      </c>
      <c r="P276" s="89">
        <f t="shared" si="161"/>
        <v>0</v>
      </c>
      <c r="Q276" s="89">
        <f t="shared" ref="Q276:S276" si="162">Q246 + Q259 + Q175</f>
        <v>0</v>
      </c>
      <c r="R276" s="89">
        <f t="shared" si="162"/>
        <v>0</v>
      </c>
      <c r="S276" s="89">
        <f t="shared" si="162"/>
        <v>0</v>
      </c>
      <c r="T276" s="89">
        <f t="shared" si="161"/>
        <v>44.224200801333524</v>
      </c>
      <c r="U276" s="89">
        <f t="shared" si="161"/>
        <v>-0.18951119786317966</v>
      </c>
      <c r="V276" s="89">
        <f t="shared" si="161"/>
        <v>0</v>
      </c>
      <c r="W276" s="89">
        <f t="shared" si="161"/>
        <v>-8.2986700125436617</v>
      </c>
      <c r="X276" s="89">
        <f t="shared" si="161"/>
        <v>0</v>
      </c>
      <c r="Y276" s="89">
        <f t="shared" si="161"/>
        <v>0</v>
      </c>
      <c r="Z276" s="89">
        <f t="shared" si="161"/>
        <v>0</v>
      </c>
      <c r="AA276" s="89">
        <f t="shared" si="161"/>
        <v>0</v>
      </c>
      <c r="AB276" s="89">
        <f t="shared" si="161"/>
        <v>0</v>
      </c>
      <c r="AT276" s="3"/>
    </row>
    <row r="277" spans="2:46" x14ac:dyDescent="0.25">
      <c r="C277" s="32"/>
      <c r="F277" s="37" t="s">
        <v>198</v>
      </c>
      <c r="G277" s="37" t="s">
        <v>171</v>
      </c>
      <c r="H277" s="131">
        <f t="shared" si="146"/>
        <v>2186.9136105569082</v>
      </c>
      <c r="I277" s="82"/>
      <c r="J277" s="82">
        <f t="shared" ref="J277:AB277" si="163">J247 + J260 + J176</f>
        <v>896.89529828668515</v>
      </c>
      <c r="K277" s="82">
        <f t="shared" si="163"/>
        <v>0</v>
      </c>
      <c r="L277" s="82">
        <f t="shared" si="163"/>
        <v>364.93695586224828</v>
      </c>
      <c r="M277" s="82">
        <f t="shared" si="163"/>
        <v>0</v>
      </c>
      <c r="N277" s="82">
        <f t="shared" si="163"/>
        <v>883.03211630178885</v>
      </c>
      <c r="O277" s="82">
        <f t="shared" si="163"/>
        <v>0</v>
      </c>
      <c r="P277" s="82">
        <f t="shared" si="163"/>
        <v>0</v>
      </c>
      <c r="Q277" s="82">
        <f t="shared" ref="Q277:S277" si="164">Q247 + Q260 + Q176</f>
        <v>0</v>
      </c>
      <c r="R277" s="82">
        <f t="shared" si="164"/>
        <v>0</v>
      </c>
      <c r="S277" s="82">
        <f t="shared" si="164"/>
        <v>0</v>
      </c>
      <c r="T277" s="82">
        <f t="shared" si="163"/>
        <v>42.049240106185977</v>
      </c>
      <c r="U277" s="82">
        <f t="shared" si="163"/>
        <v>0</v>
      </c>
      <c r="V277" s="82">
        <f t="shared" si="163"/>
        <v>0</v>
      </c>
      <c r="W277" s="82">
        <f t="shared" si="163"/>
        <v>0</v>
      </c>
      <c r="X277" s="82">
        <f t="shared" si="163"/>
        <v>0</v>
      </c>
      <c r="Y277" s="82">
        <f t="shared" si="163"/>
        <v>0</v>
      </c>
      <c r="Z277" s="82">
        <f t="shared" si="163"/>
        <v>0</v>
      </c>
      <c r="AA277" s="82">
        <f t="shared" si="163"/>
        <v>0</v>
      </c>
      <c r="AB277" s="82">
        <f t="shared" si="163"/>
        <v>0</v>
      </c>
      <c r="AT277" s="3"/>
    </row>
    <row r="278" spans="2:46" x14ac:dyDescent="0.25">
      <c r="H278" s="166"/>
    </row>
    <row r="279" spans="2:46" x14ac:dyDescent="0.25">
      <c r="B279" s="30" t="s">
        <v>230</v>
      </c>
      <c r="C279" s="30"/>
      <c r="D279" s="30"/>
      <c r="E279" s="30"/>
      <c r="F279" s="30"/>
      <c r="G279" s="30"/>
      <c r="H279" s="30"/>
      <c r="I279" s="30"/>
      <c r="J279" s="30"/>
      <c r="K279" s="30"/>
      <c r="L279" s="30"/>
      <c r="M279" s="30"/>
      <c r="N279" s="30"/>
      <c r="O279" s="30"/>
      <c r="P279" s="30"/>
      <c r="Q279" s="30"/>
      <c r="R279" s="30"/>
      <c r="S279" s="30"/>
      <c r="T279" s="30"/>
      <c r="U279" s="30"/>
      <c r="V279" s="30"/>
      <c r="W279" s="30"/>
      <c r="X279" s="30"/>
      <c r="Y279" s="30"/>
      <c r="Z279" s="30"/>
      <c r="AA279" s="30"/>
      <c r="AB279" s="30"/>
      <c r="AC279" s="30"/>
      <c r="AD279" s="30"/>
      <c r="AF279" s="30"/>
      <c r="AG279" s="30"/>
      <c r="AH279" s="30"/>
      <c r="AI279" s="30"/>
      <c r="AJ279" s="30"/>
      <c r="AK279" s="30"/>
      <c r="AL279" s="30"/>
      <c r="AM279" s="30"/>
      <c r="AN279" s="30"/>
      <c r="AO279" s="30"/>
      <c r="AP279" s="30"/>
      <c r="AQ279" s="30"/>
      <c r="AR279" s="30"/>
      <c r="AT279" s="30"/>
    </row>
    <row r="281" spans="2:46" x14ac:dyDescent="0.25">
      <c r="E281" t="s">
        <v>231</v>
      </c>
      <c r="G281" s="6" t="s">
        <v>54</v>
      </c>
      <c r="H281" s="26">
        <f t="array" ref="H281">SUM(IF(ISERROR(H23:AB277), 1))</f>
        <v>0</v>
      </c>
    </row>
    <row r="283" spans="2:46" x14ac:dyDescent="0.25">
      <c r="B283" s="30" t="s">
        <v>105</v>
      </c>
      <c r="C283" s="30"/>
      <c r="D283" s="30"/>
      <c r="E283" s="30"/>
      <c r="F283" s="30"/>
      <c r="G283" s="30"/>
      <c r="H283" s="30"/>
      <c r="I283" s="30"/>
      <c r="J283" s="30"/>
      <c r="K283" s="30"/>
      <c r="L283" s="30"/>
      <c r="M283" s="30"/>
      <c r="N283" s="30"/>
      <c r="O283" s="30"/>
      <c r="P283" s="30"/>
      <c r="Q283" s="30"/>
      <c r="R283" s="30"/>
      <c r="S283" s="30"/>
      <c r="T283" s="30"/>
      <c r="U283" s="30"/>
      <c r="V283" s="30"/>
      <c r="W283" s="30"/>
      <c r="X283" s="30"/>
      <c r="Y283" s="30"/>
      <c r="Z283" s="30"/>
      <c r="AA283" s="30"/>
      <c r="AB283" s="30"/>
      <c r="AC283" s="30"/>
      <c r="AD283" s="30"/>
      <c r="AF283" s="30"/>
      <c r="AG283" s="30"/>
      <c r="AH283" s="30"/>
      <c r="AI283" s="30"/>
      <c r="AJ283" s="30"/>
      <c r="AK283" s="30"/>
      <c r="AL283" s="30"/>
      <c r="AM283" s="30"/>
      <c r="AN283" s="30"/>
      <c r="AO283" s="30"/>
      <c r="AP283" s="30"/>
      <c r="AQ283" s="30"/>
      <c r="AR283" s="30"/>
      <c r="AT283" s="30"/>
    </row>
    <row r="288" spans="2:46" x14ac:dyDescent="0.25">
      <c r="J288" s="63"/>
      <c r="L288" s="63"/>
    </row>
    <row r="289" spans="10:12" x14ac:dyDescent="0.25">
      <c r="J289" s="63"/>
      <c r="L289" s="63"/>
    </row>
    <row r="290" spans="10:12" x14ac:dyDescent="0.25">
      <c r="J290" s="63"/>
      <c r="L290" s="63"/>
    </row>
    <row r="291" spans="10:12" x14ac:dyDescent="0.25">
      <c r="J291" s="63"/>
      <c r="L291" s="63"/>
    </row>
    <row r="292" spans="10:12" x14ac:dyDescent="0.25">
      <c r="J292" s="63"/>
      <c r="L292" s="63"/>
    </row>
    <row r="293" spans="10:12" x14ac:dyDescent="0.25">
      <c r="J293" s="63"/>
      <c r="L293" s="63"/>
    </row>
    <row r="294" spans="10:12" x14ac:dyDescent="0.25">
      <c r="J294" s="63"/>
      <c r="L294" s="63"/>
    </row>
    <row r="295" spans="10:12" x14ac:dyDescent="0.25">
      <c r="J295" s="63"/>
      <c r="L295" s="63"/>
    </row>
    <row r="296" spans="10:12" x14ac:dyDescent="0.25">
      <c r="J296" s="63"/>
      <c r="L296" s="63"/>
    </row>
    <row r="297" spans="10:12" x14ac:dyDescent="0.25">
      <c r="J297" s="63"/>
      <c r="L297" s="63"/>
    </row>
    <row r="298" spans="10:12" x14ac:dyDescent="0.25">
      <c r="J298" s="63"/>
      <c r="L298" s="63"/>
    </row>
    <row r="299" spans="10:12" x14ac:dyDescent="0.25">
      <c r="J299" s="63"/>
      <c r="L299" s="63"/>
    </row>
    <row r="300" spans="10:12" x14ac:dyDescent="0.25">
      <c r="J300" s="63"/>
      <c r="L300" s="63"/>
    </row>
    <row r="301" spans="10:12" x14ac:dyDescent="0.25">
      <c r="J301" s="63"/>
      <c r="L301" s="63"/>
    </row>
    <row r="302" spans="10:12" x14ac:dyDescent="0.25">
      <c r="J302" s="63"/>
      <c r="L302" s="63"/>
    </row>
    <row r="303" spans="10:12" x14ac:dyDescent="0.25">
      <c r="J303" s="63"/>
      <c r="L303" s="63"/>
    </row>
    <row r="304" spans="10:12" x14ac:dyDescent="0.25">
      <c r="J304" s="63"/>
      <c r="L304" s="63"/>
    </row>
    <row r="305" spans="10:12" x14ac:dyDescent="0.25">
      <c r="J305" s="63"/>
      <c r="L305" s="63"/>
    </row>
    <row r="306" spans="10:12" x14ac:dyDescent="0.25">
      <c r="J306" s="63"/>
      <c r="L306" s="63"/>
    </row>
    <row r="307" spans="10:12" x14ac:dyDescent="0.25">
      <c r="J307" s="63"/>
      <c r="L307" s="63"/>
    </row>
    <row r="308" spans="10:12" x14ac:dyDescent="0.25">
      <c r="J308" s="63"/>
      <c r="L308" s="63"/>
    </row>
    <row r="309" spans="10:12" x14ac:dyDescent="0.25">
      <c r="J309" s="63"/>
      <c r="L309" s="63"/>
    </row>
    <row r="310" spans="10:12" x14ac:dyDescent="0.25">
      <c r="J310" s="63"/>
      <c r="L310" s="63"/>
    </row>
    <row r="311" spans="10:12" x14ac:dyDescent="0.25">
      <c r="J311" s="63"/>
      <c r="L311" s="63"/>
    </row>
    <row r="312" spans="10:12" x14ac:dyDescent="0.25">
      <c r="J312" s="63"/>
      <c r="L312" s="63"/>
    </row>
    <row r="313" spans="10:12" x14ac:dyDescent="0.25">
      <c r="J313" s="63"/>
      <c r="L313" s="63"/>
    </row>
    <row r="314" spans="10:12" x14ac:dyDescent="0.25">
      <c r="J314" s="63"/>
      <c r="L314" s="63"/>
    </row>
    <row r="315" spans="10:12" x14ac:dyDescent="0.25">
      <c r="J315" s="63"/>
      <c r="L315" s="63"/>
    </row>
    <row r="316" spans="10:12" x14ac:dyDescent="0.25">
      <c r="J316" s="63"/>
      <c r="L316" s="63"/>
    </row>
    <row r="317" spans="10:12" x14ac:dyDescent="0.25">
      <c r="J317" s="63"/>
      <c r="L317" s="63"/>
    </row>
    <row r="318" spans="10:12" x14ac:dyDescent="0.25">
      <c r="J318" s="63"/>
      <c r="L318" s="63"/>
    </row>
    <row r="319" spans="10:12" x14ac:dyDescent="0.25">
      <c r="J319" s="63"/>
      <c r="L319" s="63"/>
    </row>
    <row r="320" spans="10:12" x14ac:dyDescent="0.25">
      <c r="J320" s="63"/>
      <c r="L320" s="63"/>
    </row>
  </sheetData>
  <sheetProtection sheet="1" objects="1" formatCells="0" formatColumns="0" formatRows="0" sort="0" autoFilter="0"/>
  <conditionalFormatting sqref="H281">
    <cfRule type="cellIs" dxfId="146" priority="10" operator="greaterThan">
      <formula>0</formula>
    </cfRule>
  </conditionalFormatting>
  <conditionalFormatting sqref="A4:I4 AC4:XFD4">
    <cfRule type="expression" dxfId="145" priority="9">
      <formula>LEFT($A$4,1) &lt;&gt; "0"</formula>
    </cfRule>
  </conditionalFormatting>
  <conditionalFormatting sqref="N4:S4">
    <cfRule type="expression" dxfId="144" priority="8">
      <formula>LEFT($A$4,1) &lt;&gt; "0"</formula>
    </cfRule>
  </conditionalFormatting>
  <conditionalFormatting sqref="L4:M4">
    <cfRule type="expression" dxfId="143" priority="7">
      <formula>LEFT($A$4,1) &lt;&gt; "0"</formula>
    </cfRule>
  </conditionalFormatting>
  <conditionalFormatting sqref="J4:K4">
    <cfRule type="expression" dxfId="142" priority="6">
      <formula>LEFT($A$4,1) &lt;&gt; "0"</formula>
    </cfRule>
  </conditionalFormatting>
  <conditionalFormatting sqref="T4">
    <cfRule type="expression" dxfId="141" priority="5">
      <formula>LEFT($A$4,1) &lt;&gt; "0"</formula>
    </cfRule>
  </conditionalFormatting>
  <conditionalFormatting sqref="U4:V4">
    <cfRule type="expression" dxfId="140" priority="4">
      <formula>LEFT($A$4,1) &lt;&gt; "0"</formula>
    </cfRule>
  </conditionalFormatting>
  <conditionalFormatting sqref="W4:X4">
    <cfRule type="expression" dxfId="139" priority="3">
      <formula>LEFT($A$4,1) &lt;&gt; "0"</formula>
    </cfRule>
  </conditionalFormatting>
  <conditionalFormatting sqref="Y4:Z4">
    <cfRule type="expression" dxfId="138" priority="2">
      <formula>LEFT($A$4,1) &lt;&gt; "0"</formula>
    </cfRule>
  </conditionalFormatting>
  <conditionalFormatting sqref="AA4:AB4">
    <cfRule type="expression" dxfId="137" priority="1">
      <formula>LEFT($A$4,1) &lt;&gt; "0"</formula>
    </cfRule>
  </conditionalFormatting>
  <hyperlinks>
    <hyperlink ref="B5:F5" location="'Model map'!A1" display="Click here to return to model map" xr:uid="{00000000-0004-0000-0E00-000000000000}"/>
  </hyperlinks>
  <pageMargins left="0.7" right="0.7" top="0.75" bottom="0.75" header="0.3" footer="0.3"/>
  <pageSetup paperSize="9" fitToHeight="0" orientation="portrait" r:id="rId1"/>
  <headerFooter>
    <oddHeader>&amp;L&amp;A&amp;C&amp;R&amp;P of &amp;N</oddHeader>
    <oddFooter>&amp;F</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6">
    <tabColor theme="4" tint="0.59999389629810485"/>
    <pageSetUpPr fitToPage="1"/>
  </sheetPr>
  <dimension ref="A1:LK4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8" width="17" customWidth="1"/>
    <col min="29" max="29" width="2.42578125" customWidth="1"/>
    <col min="30" max="30" width="50.5703125" customWidth="1"/>
    <col min="31" max="31" width="2.42578125" customWidth="1"/>
    <col min="32" max="44" width="17" hidden="1" customWidth="1"/>
    <col min="45" max="45" width="3.5703125" hidden="1" customWidth="1"/>
    <col min="46" max="46" width="18.42578125" hidden="1" customWidth="1"/>
    <col min="47" max="47" width="4.42578125" hidden="1" customWidth="1"/>
    <col min="48" max="48" width="24.5703125" hidden="1" customWidth="1"/>
    <col min="49" max="49" width="3.5703125" hidden="1" customWidth="1"/>
    <col min="50" max="50" width="15.42578125" hidden="1" customWidth="1"/>
    <col min="51" max="323" width="24.5703125" hidden="1" customWidth="1"/>
    <col min="324" max="16384" width="8.7109375" hidden="1"/>
  </cols>
  <sheetData>
    <row r="1" spans="1:46" s="1" customFormat="1" x14ac:dyDescent="0.25">
      <c r="A1" s="1" t="str">
        <f ca="1">MID(CELL("filename",A1),FIND("]",CELL("filename",A1))+1,255)</f>
        <v>Service model assets</v>
      </c>
    </row>
    <row r="2" spans="1:46" s="1" customFormat="1" x14ac:dyDescent="0.25">
      <c r="A2" s="1" t="str">
        <f>Cover!D21&amp;" - "&amp;Cover!D23</f>
        <v>SP Distribution - Two</v>
      </c>
    </row>
    <row r="3" spans="1:46" s="5" customFormat="1" x14ac:dyDescent="0.25">
      <c r="A3" s="5" t="str">
        <f>Cover!D2&amp;" - "&amp;Cover!D8&amp;" v"&amp;Cover!D10&amp;" - "&amp;Cover!D19</f>
        <v>CDCM charging model - Release for charge setting v6 - 2021/22</v>
      </c>
    </row>
    <row r="4" spans="1:46" x14ac:dyDescent="0.25">
      <c r="A4" s="12" t="str">
        <f>H38 &amp; IF(H38 = 1, " issue", " issues") &amp;" identified in checks on this sheet"</f>
        <v>0 issues identified in checks on this sheet</v>
      </c>
      <c r="B4" s="13"/>
      <c r="C4" s="13"/>
      <c r="D4" s="13"/>
      <c r="E4" s="13"/>
      <c r="F4" s="13"/>
      <c r="G4" s="13"/>
      <c r="H4" s="14"/>
      <c r="I4" s="14"/>
    </row>
    <row r="5" spans="1:46" ht="60" x14ac:dyDescent="0.25">
      <c r="B5" s="59" t="s">
        <v>141</v>
      </c>
      <c r="C5" s="60"/>
      <c r="D5" s="60"/>
      <c r="E5" s="60"/>
      <c r="F5" s="60"/>
      <c r="G5" s="61" t="s">
        <v>142</v>
      </c>
      <c r="H5" s="62" t="s">
        <v>143</v>
      </c>
      <c r="I5" s="14"/>
      <c r="J5" s="62" t="s">
        <v>893</v>
      </c>
      <c r="K5" s="62" t="s">
        <v>895</v>
      </c>
      <c r="L5" s="62" t="s">
        <v>894</v>
      </c>
      <c r="M5" s="62" t="s">
        <v>896</v>
      </c>
      <c r="N5" s="62" t="s">
        <v>902</v>
      </c>
      <c r="O5" s="62" t="s">
        <v>903</v>
      </c>
      <c r="P5" s="62" t="s">
        <v>904</v>
      </c>
      <c r="Q5" s="62" t="s">
        <v>1027</v>
      </c>
      <c r="R5" s="62" t="s">
        <v>1028</v>
      </c>
      <c r="S5" s="62" t="s">
        <v>1029</v>
      </c>
      <c r="T5" s="62" t="s">
        <v>905</v>
      </c>
      <c r="U5" s="62" t="s">
        <v>897</v>
      </c>
      <c r="V5" s="62" t="s">
        <v>898</v>
      </c>
      <c r="W5" s="62" t="s">
        <v>899</v>
      </c>
      <c r="X5" s="62" t="s">
        <v>908</v>
      </c>
      <c r="Y5" s="62" t="s">
        <v>900</v>
      </c>
      <c r="Z5" s="62" t="s">
        <v>907</v>
      </c>
      <c r="AA5" s="62" t="s">
        <v>901</v>
      </c>
      <c r="AB5" s="62" t="s">
        <v>906</v>
      </c>
      <c r="AD5" s="61" t="s">
        <v>144</v>
      </c>
    </row>
    <row r="7" spans="1:46" x14ac:dyDescent="0.25">
      <c r="B7" s="30" t="s">
        <v>9</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F7" s="30"/>
      <c r="AG7" s="30"/>
      <c r="AH7" s="30"/>
      <c r="AI7" s="30"/>
      <c r="AJ7" s="30"/>
      <c r="AK7" s="30"/>
      <c r="AL7" s="30"/>
      <c r="AM7" s="30"/>
      <c r="AN7" s="30"/>
      <c r="AO7" s="30"/>
      <c r="AP7" s="30"/>
      <c r="AQ7" s="30"/>
      <c r="AR7" s="30"/>
      <c r="AT7" s="30"/>
    </row>
    <row r="9" spans="1:46" x14ac:dyDescent="0.25">
      <c r="C9" s="29" t="s">
        <v>545</v>
      </c>
    </row>
    <row r="10" spans="1:46" x14ac:dyDescent="0.25">
      <c r="C10" s="29" t="s">
        <v>546</v>
      </c>
    </row>
    <row r="11" spans="1:46" x14ac:dyDescent="0.25">
      <c r="D11" s="32"/>
      <c r="AT11" s="3"/>
    </row>
    <row r="12" spans="1:46" x14ac:dyDescent="0.25">
      <c r="B12" s="30" t="s">
        <v>547</v>
      </c>
      <c r="C12" s="30"/>
      <c r="D12" s="30"/>
      <c r="E12" s="30"/>
      <c r="F12" s="30"/>
      <c r="G12" s="92"/>
      <c r="H12" s="30"/>
      <c r="I12" s="30"/>
      <c r="J12" s="30"/>
      <c r="K12" s="30"/>
      <c r="L12" s="30"/>
      <c r="M12" s="30"/>
      <c r="N12" s="30"/>
      <c r="O12" s="30"/>
      <c r="P12" s="30"/>
      <c r="Q12" s="30"/>
      <c r="R12" s="30"/>
      <c r="S12" s="30"/>
      <c r="T12" s="30"/>
      <c r="U12" s="30"/>
      <c r="V12" s="30"/>
      <c r="W12" s="30"/>
      <c r="X12" s="30"/>
      <c r="Y12" s="30"/>
      <c r="Z12" s="30"/>
      <c r="AA12" s="30"/>
      <c r="AB12" s="30"/>
      <c r="AC12" s="30"/>
      <c r="AD12" s="30"/>
    </row>
    <row r="13" spans="1:46" x14ac:dyDescent="0.25">
      <c r="G13" s="13"/>
    </row>
    <row r="14" spans="1:46" x14ac:dyDescent="0.25">
      <c r="C14" s="31" t="str">
        <f ca="1">INDEX('Version control'!$H$34:$H$57,MATCH($A$1,'Version control'!$F$34:$F$57,0),1)&amp;"-A: Service model notional asset values"</f>
        <v>Section 107-A: Service model notional asset values</v>
      </c>
      <c r="D14" s="31"/>
      <c r="E14" s="31"/>
      <c r="F14" s="31"/>
      <c r="G14" s="96"/>
      <c r="H14" s="31"/>
      <c r="I14" s="31"/>
      <c r="J14" s="31"/>
      <c r="K14" s="31"/>
      <c r="L14" s="31"/>
      <c r="M14" s="31"/>
      <c r="N14" s="31"/>
      <c r="O14" s="31"/>
      <c r="P14" s="31"/>
      <c r="Q14" s="31"/>
      <c r="R14" s="31"/>
      <c r="S14" s="31"/>
      <c r="T14" s="31"/>
      <c r="U14" s="31"/>
      <c r="V14" s="31"/>
      <c r="W14" s="31"/>
      <c r="X14" s="31"/>
      <c r="Y14" s="31"/>
      <c r="Z14" s="31"/>
      <c r="AA14" s="31"/>
      <c r="AB14" s="31"/>
      <c r="AC14" s="31"/>
      <c r="AD14" s="31"/>
    </row>
    <row r="16" spans="1:46" x14ac:dyDescent="0.25">
      <c r="E16" s="28" t="s">
        <v>548</v>
      </c>
      <c r="G16" s="28" t="s">
        <v>211</v>
      </c>
      <c r="J16" s="120">
        <f>'Volume adjustments'!J103</f>
        <v>1900944.7731327738</v>
      </c>
      <c r="K16" s="120">
        <f>'Volume adjustments'!K103</f>
        <v>100130.921763869</v>
      </c>
      <c r="L16" s="120">
        <f>'Volume adjustments'!L103</f>
        <v>126260.16198819576</v>
      </c>
      <c r="M16" s="120">
        <f>'Volume adjustments'!M103</f>
        <v>7441</v>
      </c>
      <c r="N16" s="120">
        <f>'Volume adjustments'!N103</f>
        <v>10688.330482751717</v>
      </c>
      <c r="O16" s="120">
        <f>'Volume adjustments'!O103</f>
        <v>235.94699537145465</v>
      </c>
      <c r="P16" s="120">
        <f>'Volume adjustments'!P103</f>
        <v>1279.4477972038226</v>
      </c>
      <c r="Q16" s="120">
        <f>'Volume adjustments'!Q103</f>
        <v>0</v>
      </c>
      <c r="R16" s="120">
        <f>'Volume adjustments'!R103</f>
        <v>0</v>
      </c>
      <c r="S16" s="120">
        <f>'Volume adjustments'!S103</f>
        <v>0</v>
      </c>
      <c r="T16" s="120">
        <f>'Volume adjustments'!T103</f>
        <v>4906.9507149127448</v>
      </c>
      <c r="U16" s="120">
        <f>'Volume adjustments'!U103</f>
        <v>167</v>
      </c>
      <c r="V16" s="120">
        <f>'Volume adjustments'!V103</f>
        <v>4</v>
      </c>
      <c r="W16" s="120">
        <f>'Volume adjustments'!W103</f>
        <v>472</v>
      </c>
      <c r="X16" s="120">
        <f>'Volume adjustments'!X103</f>
        <v>0</v>
      </c>
      <c r="Y16" s="120">
        <f>'Volume adjustments'!Y103</f>
        <v>8</v>
      </c>
      <c r="Z16" s="120">
        <f>'Volume adjustments'!Z103</f>
        <v>0</v>
      </c>
      <c r="AA16" s="120">
        <f>'Volume adjustments'!AA103</f>
        <v>255</v>
      </c>
      <c r="AB16" s="120">
        <f>'Volume adjustments'!AB103</f>
        <v>0</v>
      </c>
    </row>
    <row r="17" spans="5:30" x14ac:dyDescent="0.25">
      <c r="E17" s="28" t="s">
        <v>549</v>
      </c>
      <c r="G17" s="28" t="s">
        <v>206</v>
      </c>
      <c r="J17" s="124">
        <f>'Volume adjustments'!J92</f>
        <v>5825599.3164300323</v>
      </c>
      <c r="K17" s="124">
        <f>'Volume adjustments'!K92</f>
        <v>270877.78037019382</v>
      </c>
      <c r="L17" s="124">
        <f>'Volume adjustments'!L92</f>
        <v>2201312.3060182091</v>
      </c>
      <c r="M17" s="124">
        <f>'Volume adjustments'!M92</f>
        <v>82052.814575758006</v>
      </c>
      <c r="N17" s="124">
        <f>'Volume adjustments'!N92</f>
        <v>2811232.9105622685</v>
      </c>
      <c r="O17" s="124">
        <f>'Volume adjustments'!O92</f>
        <v>236827.76010355487</v>
      </c>
      <c r="P17" s="124">
        <f>'Volume adjustments'!P92</f>
        <v>3461956.8156637559</v>
      </c>
      <c r="Q17" s="124">
        <f>'Volume adjustments'!Q92</f>
        <v>0</v>
      </c>
      <c r="R17" s="124">
        <f>'Volume adjustments'!R92</f>
        <v>0</v>
      </c>
      <c r="S17" s="124">
        <f>'Volume adjustments'!S92</f>
        <v>0</v>
      </c>
      <c r="T17" s="124">
        <f>'Volume adjustments'!T92</f>
        <v>256175.35170091991</v>
      </c>
      <c r="U17" s="124">
        <f>'Volume adjustments'!U92</f>
        <v>1469.6393787208365</v>
      </c>
      <c r="V17" s="124">
        <f>'Volume adjustments'!V92</f>
        <v>30.742000000000001</v>
      </c>
      <c r="W17" s="124">
        <f>'Volume adjustments'!W92</f>
        <v>64638.113999999994</v>
      </c>
      <c r="X17" s="124">
        <f>'Volume adjustments'!X92</f>
        <v>0</v>
      </c>
      <c r="Y17" s="124">
        <f>'Volume adjustments'!Y92</f>
        <v>1549.241</v>
      </c>
      <c r="Z17" s="124">
        <f>'Volume adjustments'!Z92</f>
        <v>0</v>
      </c>
      <c r="AA17" s="124">
        <f>'Volume adjustments'!AA92</f>
        <v>1068847.425</v>
      </c>
      <c r="AB17" s="124">
        <f>'Volume adjustments'!AB92</f>
        <v>0</v>
      </c>
    </row>
    <row r="18" spans="5:30" x14ac:dyDescent="0.25">
      <c r="J18" s="89"/>
      <c r="K18" s="89"/>
      <c r="L18" s="89"/>
      <c r="M18" s="89"/>
      <c r="N18" s="89"/>
      <c r="O18" s="89"/>
      <c r="P18" s="89"/>
      <c r="Q18" s="89"/>
      <c r="R18" s="89"/>
      <c r="S18" s="89"/>
      <c r="T18" s="89"/>
      <c r="U18" s="89"/>
      <c r="V18" s="89"/>
      <c r="W18" s="89"/>
      <c r="X18" s="89"/>
      <c r="Y18" s="89"/>
      <c r="Z18" s="89"/>
      <c r="AA18" s="89"/>
      <c r="AB18" s="89"/>
    </row>
    <row r="19" spans="5:30" x14ac:dyDescent="0.25">
      <c r="E19" s="88" t="s">
        <v>550</v>
      </c>
      <c r="J19" s="89"/>
      <c r="K19" s="89"/>
      <c r="L19" s="89"/>
      <c r="M19" s="89"/>
      <c r="N19" s="89"/>
      <c r="O19" s="89"/>
      <c r="P19" s="89"/>
      <c r="Q19" s="89"/>
      <c r="R19" s="89"/>
      <c r="S19" s="89"/>
      <c r="T19" s="89"/>
      <c r="U19" s="89"/>
      <c r="V19" s="89"/>
      <c r="W19" s="89"/>
      <c r="X19" s="89"/>
      <c r="Y19" s="89"/>
      <c r="Z19" s="89"/>
      <c r="AA19" s="89"/>
      <c r="AB19" s="89"/>
    </row>
    <row r="20" spans="5:30" x14ac:dyDescent="0.25">
      <c r="E20" s="29" t="s">
        <v>551</v>
      </c>
      <c r="J20" s="89"/>
      <c r="K20" s="89"/>
      <c r="L20" s="89"/>
      <c r="M20" s="89"/>
      <c r="N20" s="89"/>
      <c r="O20" s="89"/>
      <c r="P20" s="89"/>
      <c r="Q20" s="89"/>
      <c r="R20" s="89"/>
      <c r="S20" s="89"/>
      <c r="T20" s="89"/>
      <c r="U20" s="89"/>
      <c r="V20" s="89"/>
      <c r="W20" s="89"/>
      <c r="X20" s="89"/>
      <c r="Y20" s="89"/>
      <c r="Z20" s="89"/>
      <c r="AA20" s="89"/>
      <c r="AB20" s="89"/>
    </row>
    <row r="21" spans="5:30" x14ac:dyDescent="0.25">
      <c r="E21" s="88"/>
      <c r="F21" s="23" t="s">
        <v>375</v>
      </c>
      <c r="G21" s="23" t="s">
        <v>260</v>
      </c>
      <c r="H21" s="174"/>
      <c r="I21" s="23"/>
      <c r="J21" s="124">
        <f>'Inputs by customer type'!J53</f>
        <v>377.70000000000005</v>
      </c>
      <c r="K21" s="124">
        <f>'Inputs by customer type'!K53</f>
        <v>0</v>
      </c>
      <c r="L21" s="124">
        <f>'Inputs by customer type'!L53</f>
        <v>508.75</v>
      </c>
      <c r="M21" s="124">
        <f>'Inputs by customer type'!M53</f>
        <v>0</v>
      </c>
      <c r="N21" s="124">
        <f>'Inputs by customer type'!N53</f>
        <v>2380</v>
      </c>
      <c r="O21" s="124">
        <f>'Inputs by customer type'!O53</f>
        <v>840</v>
      </c>
      <c r="P21" s="124">
        <f>'Inputs by customer type'!P53</f>
        <v>0</v>
      </c>
      <c r="Q21" s="124">
        <f>'Inputs by customer type'!Q53</f>
        <v>2380</v>
      </c>
      <c r="R21" s="124">
        <f>'Inputs by customer type'!R53</f>
        <v>840</v>
      </c>
      <c r="S21" s="124">
        <f>'Inputs by customer type'!S53</f>
        <v>0</v>
      </c>
      <c r="T21" s="83"/>
      <c r="U21" s="124">
        <f>'Inputs by customer type'!U53</f>
        <v>0</v>
      </c>
      <c r="V21" s="124">
        <f>'Inputs by customer type'!V53</f>
        <v>0</v>
      </c>
      <c r="W21" s="124">
        <f>'Inputs by customer type'!W53</f>
        <v>0</v>
      </c>
      <c r="X21" s="124">
        <f>'Inputs by customer type'!X53</f>
        <v>0</v>
      </c>
      <c r="Y21" s="124">
        <f>'Inputs by customer type'!Y53</f>
        <v>0</v>
      </c>
      <c r="Z21" s="124">
        <f>'Inputs by customer type'!Z53</f>
        <v>0</v>
      </c>
      <c r="AA21" s="124">
        <f>'Inputs by customer type'!AA53</f>
        <v>0</v>
      </c>
      <c r="AB21" s="124">
        <f>'Inputs by customer type'!AB53</f>
        <v>0</v>
      </c>
    </row>
    <row r="22" spans="5:30" x14ac:dyDescent="0.25">
      <c r="E22" s="88"/>
      <c r="F22" t="s">
        <v>376</v>
      </c>
      <c r="G22" t="s">
        <v>260</v>
      </c>
      <c r="H22" s="51"/>
      <c r="J22" s="120">
        <f>'Inputs by customer type'!J54</f>
        <v>0</v>
      </c>
      <c r="K22" s="120">
        <f>'Inputs by customer type'!K54</f>
        <v>0</v>
      </c>
      <c r="L22" s="120">
        <f>'Inputs by customer type'!L54</f>
        <v>0</v>
      </c>
      <c r="M22" s="120">
        <f>'Inputs by customer type'!M54</f>
        <v>0</v>
      </c>
      <c r="N22" s="120">
        <f>'Inputs by customer type'!N54</f>
        <v>0</v>
      </c>
      <c r="O22" s="120">
        <f>'Inputs by customer type'!O54</f>
        <v>0</v>
      </c>
      <c r="P22" s="120">
        <f>'Inputs by customer type'!P54</f>
        <v>12718.10554</v>
      </c>
      <c r="Q22" s="120">
        <f>'Inputs by customer type'!Q54</f>
        <v>0</v>
      </c>
      <c r="R22" s="120">
        <f>'Inputs by customer type'!R54</f>
        <v>0</v>
      </c>
      <c r="S22" s="120">
        <f>'Inputs by customer type'!S54</f>
        <v>12718.10554</v>
      </c>
      <c r="T22" s="79"/>
      <c r="U22" s="120">
        <f>'Inputs by customer type'!U54</f>
        <v>0</v>
      </c>
      <c r="V22" s="120">
        <f>'Inputs by customer type'!V54</f>
        <v>0</v>
      </c>
      <c r="W22" s="120">
        <f>'Inputs by customer type'!W54</f>
        <v>0</v>
      </c>
      <c r="X22" s="120">
        <f>'Inputs by customer type'!X54</f>
        <v>0</v>
      </c>
      <c r="Y22" s="120">
        <f>'Inputs by customer type'!Y54</f>
        <v>0</v>
      </c>
      <c r="Z22" s="120">
        <f>'Inputs by customer type'!Z54</f>
        <v>0</v>
      </c>
      <c r="AA22" s="120">
        <f>'Inputs by customer type'!AA54</f>
        <v>9287</v>
      </c>
      <c r="AB22" s="120">
        <f>'Inputs by customer type'!AB54</f>
        <v>9287</v>
      </c>
    </row>
    <row r="23" spans="5:30" x14ac:dyDescent="0.25">
      <c r="E23" s="88"/>
      <c r="F23" s="37" t="s">
        <v>552</v>
      </c>
      <c r="G23" s="37" t="s">
        <v>263</v>
      </c>
      <c r="H23" s="37"/>
      <c r="I23" s="37"/>
      <c r="J23" s="316"/>
      <c r="K23" s="316"/>
      <c r="L23" s="316"/>
      <c r="M23" s="316"/>
      <c r="N23" s="316"/>
      <c r="O23" s="316"/>
      <c r="P23" s="316"/>
      <c r="Q23" s="316"/>
      <c r="R23" s="316"/>
      <c r="S23" s="316"/>
      <c r="T23" s="221">
        <f>'Inputs by customer type'!T56</f>
        <v>120.51</v>
      </c>
      <c r="U23" s="316"/>
      <c r="V23" s="316"/>
      <c r="W23" s="316"/>
      <c r="X23" s="316"/>
      <c r="Y23" s="316"/>
      <c r="Z23" s="316"/>
      <c r="AA23" s="316"/>
      <c r="AB23" s="316"/>
    </row>
    <row r="24" spans="5:30" x14ac:dyDescent="0.25">
      <c r="J24" s="89"/>
      <c r="K24" s="89"/>
      <c r="L24" s="89"/>
      <c r="M24" s="89"/>
      <c r="N24" s="89"/>
      <c r="O24" s="89"/>
      <c r="P24" s="89"/>
      <c r="Q24" s="89"/>
      <c r="R24" s="89"/>
      <c r="S24" s="89"/>
      <c r="T24" s="89"/>
      <c r="U24" s="89"/>
      <c r="V24" s="89"/>
      <c r="W24" s="89"/>
      <c r="X24" s="89"/>
      <c r="Y24" s="89"/>
      <c r="Z24" s="89"/>
      <c r="AA24" s="89"/>
      <c r="AB24" s="89"/>
    </row>
    <row r="25" spans="5:30" x14ac:dyDescent="0.25">
      <c r="E25" s="88" t="s">
        <v>553</v>
      </c>
      <c r="J25" s="89"/>
      <c r="K25" s="89"/>
      <c r="L25" s="89"/>
      <c r="M25" s="89"/>
      <c r="N25" s="89"/>
      <c r="O25" s="89"/>
      <c r="P25" s="89"/>
      <c r="Q25" s="89"/>
      <c r="R25" s="89"/>
      <c r="S25" s="89"/>
      <c r="T25" s="89"/>
      <c r="U25" s="89"/>
      <c r="V25" s="89"/>
      <c r="W25" s="89"/>
      <c r="X25" s="89"/>
      <c r="Y25" s="89"/>
      <c r="Z25" s="89"/>
      <c r="AA25" s="89"/>
      <c r="AB25" s="89"/>
    </row>
    <row r="26" spans="5:30" x14ac:dyDescent="0.25">
      <c r="E26" s="29" t="s">
        <v>554</v>
      </c>
      <c r="I26" t="s">
        <v>153</v>
      </c>
      <c r="J26" s="89"/>
      <c r="K26" s="89"/>
      <c r="L26" s="89"/>
      <c r="M26" s="89"/>
      <c r="N26" s="89"/>
      <c r="O26" s="89"/>
      <c r="P26" s="89"/>
      <c r="Q26" s="89"/>
      <c r="R26" s="89"/>
      <c r="S26" s="89"/>
      <c r="T26" s="89"/>
      <c r="U26" s="89"/>
      <c r="V26" s="89"/>
      <c r="W26" s="89"/>
      <c r="X26" s="89"/>
      <c r="Y26" s="89"/>
      <c r="Z26" s="89"/>
      <c r="AA26" s="89"/>
      <c r="AB26" s="89"/>
      <c r="AD26" t="s">
        <v>1023</v>
      </c>
    </row>
    <row r="27" spans="5:30" x14ac:dyDescent="0.25">
      <c r="F27" s="23" t="s">
        <v>375</v>
      </c>
      <c r="G27" s="23" t="s">
        <v>276</v>
      </c>
      <c r="H27" s="129"/>
      <c r="I27" s="23"/>
      <c r="J27" s="126">
        <f t="shared" ref="J27:AB27" si="0">J21 * J$16</f>
        <v>717986840.81224871</v>
      </c>
      <c r="K27" s="126">
        <f t="shared" si="0"/>
        <v>0</v>
      </c>
      <c r="L27" s="126">
        <f t="shared" si="0"/>
        <v>64234857.41149459</v>
      </c>
      <c r="M27" s="126">
        <f t="shared" si="0"/>
        <v>0</v>
      </c>
      <c r="N27" s="126">
        <f t="shared" si="0"/>
        <v>25438226.548949085</v>
      </c>
      <c r="O27" s="126">
        <f t="shared" si="0"/>
        <v>198195.47611202189</v>
      </c>
      <c r="P27" s="126">
        <f t="shared" si="0"/>
        <v>0</v>
      </c>
      <c r="Q27" s="126">
        <f t="shared" ref="Q27:S27" si="1">Q21 * Q$16</f>
        <v>0</v>
      </c>
      <c r="R27" s="126">
        <f t="shared" si="1"/>
        <v>0</v>
      </c>
      <c r="S27" s="126">
        <f t="shared" si="1"/>
        <v>0</v>
      </c>
      <c r="T27" s="126">
        <f t="shared" si="0"/>
        <v>0</v>
      </c>
      <c r="U27" s="126">
        <f t="shared" si="0"/>
        <v>0</v>
      </c>
      <c r="V27" s="126">
        <f t="shared" si="0"/>
        <v>0</v>
      </c>
      <c r="W27" s="126">
        <f t="shared" si="0"/>
        <v>0</v>
      </c>
      <c r="X27" s="126">
        <f t="shared" si="0"/>
        <v>0</v>
      </c>
      <c r="Y27" s="126">
        <f t="shared" si="0"/>
        <v>0</v>
      </c>
      <c r="Z27" s="126">
        <f t="shared" si="0"/>
        <v>0</v>
      </c>
      <c r="AA27" s="126">
        <f t="shared" si="0"/>
        <v>0</v>
      </c>
      <c r="AB27" s="126">
        <f t="shared" si="0"/>
        <v>0</v>
      </c>
    </row>
    <row r="28" spans="5:30" x14ac:dyDescent="0.25">
      <c r="F28" t="s">
        <v>376</v>
      </c>
      <c r="G28" t="s">
        <v>276</v>
      </c>
      <c r="H28" s="63"/>
      <c r="J28" s="98">
        <f t="shared" ref="J28:AB28" si="2">J22 * J$16</f>
        <v>0</v>
      </c>
      <c r="K28" s="98">
        <f t="shared" si="2"/>
        <v>0</v>
      </c>
      <c r="L28" s="98">
        <f t="shared" si="2"/>
        <v>0</v>
      </c>
      <c r="M28" s="98">
        <f t="shared" si="2"/>
        <v>0</v>
      </c>
      <c r="N28" s="98">
        <f t="shared" si="2"/>
        <v>0</v>
      </c>
      <c r="O28" s="98">
        <f t="shared" si="2"/>
        <v>0</v>
      </c>
      <c r="P28" s="98">
        <f t="shared" si="2"/>
        <v>16272152.117758732</v>
      </c>
      <c r="Q28" s="98">
        <f t="shared" ref="Q28:S28" si="3">Q22 * Q$16</f>
        <v>0</v>
      </c>
      <c r="R28" s="98">
        <f t="shared" si="3"/>
        <v>0</v>
      </c>
      <c r="S28" s="98">
        <f t="shared" si="3"/>
        <v>0</v>
      </c>
      <c r="T28" s="98">
        <f t="shared" si="2"/>
        <v>0</v>
      </c>
      <c r="U28" s="98">
        <f t="shared" si="2"/>
        <v>0</v>
      </c>
      <c r="V28" s="98">
        <f t="shared" si="2"/>
        <v>0</v>
      </c>
      <c r="W28" s="98">
        <f t="shared" si="2"/>
        <v>0</v>
      </c>
      <c r="X28" s="98">
        <f t="shared" si="2"/>
        <v>0</v>
      </c>
      <c r="Y28" s="98">
        <f t="shared" si="2"/>
        <v>0</v>
      </c>
      <c r="Z28" s="98">
        <f t="shared" si="2"/>
        <v>0</v>
      </c>
      <c r="AA28" s="98">
        <f t="shared" si="2"/>
        <v>2368185</v>
      </c>
      <c r="AB28" s="98">
        <f t="shared" si="2"/>
        <v>0</v>
      </c>
    </row>
    <row r="29" spans="5:30" x14ac:dyDescent="0.25">
      <c r="F29" s="37" t="s">
        <v>552</v>
      </c>
      <c r="G29" s="37" t="s">
        <v>276</v>
      </c>
      <c r="H29" s="130"/>
      <c r="I29" s="37"/>
      <c r="J29" s="316"/>
      <c r="K29" s="316"/>
      <c r="L29" s="316"/>
      <c r="M29" s="316"/>
      <c r="N29" s="316"/>
      <c r="O29" s="316"/>
      <c r="P29" s="316"/>
      <c r="Q29" s="316"/>
      <c r="R29" s="316"/>
      <c r="S29" s="316"/>
      <c r="T29" s="153">
        <f t="shared" ref="T29" si="4">T23 * T$17</f>
        <v>30871691.633477859</v>
      </c>
      <c r="U29" s="316"/>
      <c r="V29" s="316"/>
      <c r="W29" s="316"/>
      <c r="X29" s="316"/>
      <c r="Y29" s="316"/>
      <c r="Z29" s="316"/>
      <c r="AA29" s="316"/>
      <c r="AB29" s="316"/>
    </row>
    <row r="30" spans="5:30" x14ac:dyDescent="0.25">
      <c r="J30" s="89"/>
      <c r="K30" s="89"/>
      <c r="L30" s="89"/>
      <c r="M30" s="89"/>
      <c r="N30" s="89"/>
      <c r="O30" s="89"/>
      <c r="P30" s="89"/>
      <c r="Q30" s="89"/>
      <c r="R30" s="89"/>
      <c r="S30" s="89"/>
      <c r="T30" s="89"/>
      <c r="U30" s="89"/>
      <c r="V30" s="89"/>
      <c r="W30" s="89"/>
      <c r="X30" s="89"/>
      <c r="Y30" s="89"/>
      <c r="Z30" s="89"/>
      <c r="AA30" s="89"/>
      <c r="AB30" s="89"/>
    </row>
    <row r="31" spans="5:30" x14ac:dyDescent="0.25">
      <c r="E31" s="88" t="s">
        <v>555</v>
      </c>
      <c r="J31" s="89"/>
      <c r="K31" s="89"/>
      <c r="L31" s="89"/>
      <c r="M31" s="89"/>
      <c r="N31" s="89"/>
      <c r="O31" s="89"/>
      <c r="P31" s="89"/>
      <c r="Q31" s="89"/>
      <c r="R31" s="89"/>
      <c r="S31" s="89"/>
      <c r="T31" s="89"/>
      <c r="U31" s="89"/>
      <c r="V31" s="89"/>
      <c r="W31" s="89"/>
      <c r="X31" s="89"/>
      <c r="Y31" s="89"/>
      <c r="Z31" s="89"/>
      <c r="AA31" s="89"/>
      <c r="AB31" s="89"/>
    </row>
    <row r="32" spans="5:30" x14ac:dyDescent="0.25">
      <c r="E32" s="29" t="s">
        <v>556</v>
      </c>
      <c r="H32" s="128" t="s">
        <v>544</v>
      </c>
      <c r="J32" s="89"/>
      <c r="K32" s="89"/>
      <c r="L32" s="89"/>
      <c r="M32" s="89"/>
      <c r="N32" s="89"/>
      <c r="O32" s="89"/>
      <c r="P32" s="89"/>
      <c r="Q32" s="89"/>
      <c r="R32" s="89"/>
      <c r="S32" s="89"/>
      <c r="T32" s="89"/>
      <c r="U32" s="89"/>
      <c r="V32" s="89"/>
      <c r="W32" s="89"/>
      <c r="X32" s="89"/>
      <c r="Y32" s="89"/>
      <c r="Z32" s="89"/>
      <c r="AA32" s="89"/>
      <c r="AB32" s="89"/>
    </row>
    <row r="33" spans="2:46" x14ac:dyDescent="0.25">
      <c r="F33" s="23" t="s">
        <v>557</v>
      </c>
      <c r="G33" s="23" t="s">
        <v>276</v>
      </c>
      <c r="H33" s="101">
        <f>SUM(J33:AB33)</f>
        <v>838729811.88228226</v>
      </c>
      <c r="I33" s="23"/>
      <c r="J33" s="158">
        <f t="shared" ref="J33:AB33" si="5">J27 +J29</f>
        <v>717986840.81224871</v>
      </c>
      <c r="K33" s="158">
        <f t="shared" si="5"/>
        <v>0</v>
      </c>
      <c r="L33" s="158">
        <f t="shared" si="5"/>
        <v>64234857.41149459</v>
      </c>
      <c r="M33" s="158">
        <f t="shared" si="5"/>
        <v>0</v>
      </c>
      <c r="N33" s="158">
        <f t="shared" si="5"/>
        <v>25438226.548949085</v>
      </c>
      <c r="O33" s="158">
        <f t="shared" si="5"/>
        <v>198195.47611202189</v>
      </c>
      <c r="P33" s="158">
        <f t="shared" si="5"/>
        <v>0</v>
      </c>
      <c r="Q33" s="158">
        <f t="shared" ref="Q33:S33" si="6">Q27 +Q29</f>
        <v>0</v>
      </c>
      <c r="R33" s="158">
        <f t="shared" si="6"/>
        <v>0</v>
      </c>
      <c r="S33" s="158">
        <f t="shared" si="6"/>
        <v>0</v>
      </c>
      <c r="T33" s="158">
        <f t="shared" si="5"/>
        <v>30871691.633477859</v>
      </c>
      <c r="U33" s="158">
        <f t="shared" si="5"/>
        <v>0</v>
      </c>
      <c r="V33" s="158">
        <f t="shared" si="5"/>
        <v>0</v>
      </c>
      <c r="W33" s="158">
        <f t="shared" si="5"/>
        <v>0</v>
      </c>
      <c r="X33" s="158">
        <f t="shared" si="5"/>
        <v>0</v>
      </c>
      <c r="Y33" s="158">
        <f t="shared" si="5"/>
        <v>0</v>
      </c>
      <c r="Z33" s="158">
        <f t="shared" si="5"/>
        <v>0</v>
      </c>
      <c r="AA33" s="158">
        <f t="shared" si="5"/>
        <v>0</v>
      </c>
      <c r="AB33" s="158">
        <f t="shared" si="5"/>
        <v>0</v>
      </c>
    </row>
    <row r="34" spans="2:46" x14ac:dyDescent="0.25">
      <c r="F34" s="37" t="s">
        <v>558</v>
      </c>
      <c r="G34" s="37" t="s">
        <v>276</v>
      </c>
      <c r="H34" s="131">
        <f>SUM(J34:AB34)</f>
        <v>18640337.117758732</v>
      </c>
      <c r="I34" s="37"/>
      <c r="J34" s="167">
        <f t="shared" ref="J34:AB34" si="7">J28</f>
        <v>0</v>
      </c>
      <c r="K34" s="167">
        <f t="shared" si="7"/>
        <v>0</v>
      </c>
      <c r="L34" s="167">
        <f t="shared" si="7"/>
        <v>0</v>
      </c>
      <c r="M34" s="167">
        <f t="shared" si="7"/>
        <v>0</v>
      </c>
      <c r="N34" s="167">
        <f t="shared" si="7"/>
        <v>0</v>
      </c>
      <c r="O34" s="167">
        <f t="shared" si="7"/>
        <v>0</v>
      </c>
      <c r="P34" s="167">
        <f t="shared" si="7"/>
        <v>16272152.117758732</v>
      </c>
      <c r="Q34" s="167">
        <f t="shared" ref="Q34:S34" si="8">Q28</f>
        <v>0</v>
      </c>
      <c r="R34" s="167">
        <f t="shared" si="8"/>
        <v>0</v>
      </c>
      <c r="S34" s="167">
        <f t="shared" si="8"/>
        <v>0</v>
      </c>
      <c r="T34" s="167">
        <f t="shared" si="7"/>
        <v>0</v>
      </c>
      <c r="U34" s="167">
        <f t="shared" si="7"/>
        <v>0</v>
      </c>
      <c r="V34" s="167">
        <f t="shared" si="7"/>
        <v>0</v>
      </c>
      <c r="W34" s="167">
        <f t="shared" si="7"/>
        <v>0</v>
      </c>
      <c r="X34" s="167">
        <f t="shared" si="7"/>
        <v>0</v>
      </c>
      <c r="Y34" s="167">
        <f t="shared" si="7"/>
        <v>0</v>
      </c>
      <c r="Z34" s="167">
        <f t="shared" si="7"/>
        <v>0</v>
      </c>
      <c r="AA34" s="167">
        <f t="shared" si="7"/>
        <v>2368185</v>
      </c>
      <c r="AB34" s="167">
        <f t="shared" si="7"/>
        <v>0</v>
      </c>
    </row>
    <row r="36" spans="2:46" x14ac:dyDescent="0.25">
      <c r="B36" s="30" t="s">
        <v>230</v>
      </c>
      <c r="C36" s="30"/>
      <c r="D36" s="30"/>
      <c r="E36" s="30"/>
      <c r="F36" s="30"/>
      <c r="G36" s="30"/>
      <c r="H36" s="30"/>
      <c r="I36" s="30"/>
      <c r="J36" s="30"/>
      <c r="K36" s="30"/>
      <c r="L36" s="30"/>
      <c r="M36" s="30"/>
      <c r="N36" s="30"/>
      <c r="O36" s="30"/>
      <c r="P36" s="30"/>
      <c r="Q36" s="30"/>
      <c r="R36" s="30"/>
      <c r="S36" s="30"/>
      <c r="T36" s="30"/>
      <c r="U36" s="30"/>
      <c r="V36" s="30"/>
      <c r="W36" s="30"/>
      <c r="X36" s="30"/>
      <c r="Y36" s="30"/>
      <c r="Z36" s="30"/>
      <c r="AA36" s="30"/>
      <c r="AB36" s="30"/>
      <c r="AC36" s="30"/>
      <c r="AD36" s="30"/>
      <c r="AF36" s="30"/>
      <c r="AG36" s="30"/>
      <c r="AH36" s="30"/>
      <c r="AI36" s="30"/>
      <c r="AJ36" s="30"/>
      <c r="AK36" s="30"/>
      <c r="AL36" s="30"/>
      <c r="AM36" s="30"/>
      <c r="AN36" s="30"/>
      <c r="AO36" s="30"/>
      <c r="AP36" s="30"/>
      <c r="AQ36" s="30"/>
      <c r="AR36" s="30"/>
      <c r="AT36" s="30"/>
    </row>
    <row r="38" spans="2:46" x14ac:dyDescent="0.25">
      <c r="E38" t="s">
        <v>231</v>
      </c>
      <c r="G38" s="6" t="s">
        <v>54</v>
      </c>
      <c r="H38" s="26">
        <f t="array" ref="H38">SUM(IF(ISERROR(H16:AB35), 1))</f>
        <v>0</v>
      </c>
    </row>
    <row r="40" spans="2:46" x14ac:dyDescent="0.25">
      <c r="B40" s="30" t="s">
        <v>105</v>
      </c>
      <c r="C40" s="30"/>
      <c r="D40" s="30"/>
      <c r="E40" s="30"/>
      <c r="F40" s="30"/>
      <c r="G40" s="30"/>
      <c r="H40" s="30"/>
      <c r="I40" s="30"/>
      <c r="J40" s="30"/>
      <c r="K40" s="30"/>
      <c r="L40" s="30"/>
      <c r="M40" s="30"/>
      <c r="N40" s="30"/>
      <c r="O40" s="30"/>
      <c r="P40" s="30"/>
      <c r="Q40" s="30"/>
      <c r="R40" s="30"/>
      <c r="S40" s="30"/>
      <c r="T40" s="30"/>
      <c r="U40" s="30"/>
      <c r="V40" s="30"/>
      <c r="W40" s="30"/>
      <c r="X40" s="30"/>
      <c r="Y40" s="30"/>
      <c r="Z40" s="30"/>
      <c r="AA40" s="30"/>
      <c r="AB40" s="30"/>
      <c r="AC40" s="30"/>
      <c r="AD40" s="30"/>
      <c r="AF40" s="30"/>
      <c r="AG40" s="30"/>
      <c r="AH40" s="30"/>
      <c r="AI40" s="30"/>
      <c r="AJ40" s="30"/>
      <c r="AK40" s="30"/>
      <c r="AL40" s="30"/>
      <c r="AM40" s="30"/>
      <c r="AN40" s="30"/>
      <c r="AO40" s="30"/>
      <c r="AP40" s="30"/>
      <c r="AQ40" s="30"/>
      <c r="AR40" s="30"/>
      <c r="AT40" s="30"/>
    </row>
  </sheetData>
  <sheetProtection sheet="1" objects="1" formatCells="0" formatColumns="0" formatRows="0" sort="0" autoFilter="0"/>
  <conditionalFormatting sqref="H38">
    <cfRule type="cellIs" dxfId="136" priority="17" operator="greaterThan">
      <formula>0</formula>
    </cfRule>
  </conditionalFormatting>
  <conditionalFormatting sqref="A4:I4 AC4:XFD4">
    <cfRule type="expression" dxfId="135" priority="9">
      <formula>LEFT($A$4,1) &lt;&gt; "0"</formula>
    </cfRule>
  </conditionalFormatting>
  <conditionalFormatting sqref="N4:S4">
    <cfRule type="expression" dxfId="134" priority="8">
      <formula>LEFT($A$4,1) &lt;&gt; "0"</formula>
    </cfRule>
  </conditionalFormatting>
  <conditionalFormatting sqref="L4:M4">
    <cfRule type="expression" dxfId="133" priority="7">
      <formula>LEFT($A$4,1) &lt;&gt; "0"</formula>
    </cfRule>
  </conditionalFormatting>
  <conditionalFormatting sqref="J4:K4">
    <cfRule type="expression" dxfId="132" priority="6">
      <formula>LEFT($A$4,1) &lt;&gt; "0"</formula>
    </cfRule>
  </conditionalFormatting>
  <conditionalFormatting sqref="T4">
    <cfRule type="expression" dxfId="131" priority="5">
      <formula>LEFT($A$4,1) &lt;&gt; "0"</formula>
    </cfRule>
  </conditionalFormatting>
  <conditionalFormatting sqref="U4:V4">
    <cfRule type="expression" dxfId="130" priority="4">
      <formula>LEFT($A$4,1) &lt;&gt; "0"</formula>
    </cfRule>
  </conditionalFormatting>
  <conditionalFormatting sqref="W4:X4">
    <cfRule type="expression" dxfId="129" priority="3">
      <formula>LEFT($A$4,1) &lt;&gt; "0"</formula>
    </cfRule>
  </conditionalFormatting>
  <conditionalFormatting sqref="Y4:Z4">
    <cfRule type="expression" dxfId="128" priority="2">
      <formula>LEFT($A$4,1) &lt;&gt; "0"</formula>
    </cfRule>
  </conditionalFormatting>
  <conditionalFormatting sqref="AA4:AB4">
    <cfRule type="expression" dxfId="127" priority="1">
      <formula>LEFT($A$4,1) &lt;&gt; "0"</formula>
    </cfRule>
  </conditionalFormatting>
  <dataValidations count="2">
    <dataValidation type="decimal" operator="greaterThanOrEqual" allowBlank="1" showInputMessage="1" showErrorMessage="1" errorTitle="Invalid volume data" error="Invalid volume data (negative number or unused cell)." sqref="U29:AB29 J29:S29 J16:AB17 J21:AB23" xr:uid="{00000000-0002-0000-0F00-000000000000}">
      <formula1>0</formula1>
    </dataValidation>
    <dataValidation type="textLength" operator="equal" allowBlank="1" showInputMessage="1" showErrorMessage="1" error="This cell is not in use." sqref="AB23 AB29" xr:uid="{00000000-0002-0000-0F00-000001000000}">
      <formula1>0</formula1>
    </dataValidation>
  </dataValidations>
  <hyperlinks>
    <hyperlink ref="B5:F5" location="'Model map'!A1" display="Click here to return to model map" xr:uid="{00000000-0004-0000-0F00-000000000000}"/>
  </hyperlinks>
  <pageMargins left="0.7" right="0.7" top="0.75" bottom="0.75" header="0.3" footer="0.3"/>
  <pageSetup paperSize="9" fitToHeight="0" orientation="portrait" r:id="rId1"/>
  <headerFooter>
    <oddHeader>&amp;L&amp;A&amp;C&amp;R&amp;P of &amp;N</oddHeader>
    <oddFooter>&amp;F</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tabColor theme="4" tint="0.59999389629810485"/>
    <pageSetUpPr fitToPage="1"/>
  </sheetPr>
  <dimension ref="A1:JF13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42" width="17" hidden="1" customWidth="1"/>
    <col min="43" max="43" width="2.42578125" hidden="1" customWidth="1"/>
    <col min="44" max="44" width="18.42578125" hidden="1" customWidth="1"/>
    <col min="45" max="45" width="4.42578125" hidden="1" customWidth="1"/>
    <col min="46" max="266" width="24.5703125" hidden="1" customWidth="1"/>
    <col min="267" max="16384" width="8.7109375" hidden="1"/>
  </cols>
  <sheetData>
    <row r="1" spans="1:23" s="1" customFormat="1" x14ac:dyDescent="0.25">
      <c r="A1" s="1" t="str">
        <f ca="1">MID(CELL("filename",A1),FIND("]",CELL("filename",A1))+1,255)</f>
        <v>Unit costs</v>
      </c>
    </row>
    <row r="2" spans="1:23" s="1" customFormat="1" x14ac:dyDescent="0.25">
      <c r="A2" s="1" t="str">
        <f>Cover!D21&amp;" - "&amp;Cover!D23</f>
        <v>SP Distribution - Two</v>
      </c>
    </row>
    <row r="3" spans="1:23" s="5" customFormat="1" x14ac:dyDescent="0.25">
      <c r="A3" s="5" t="str">
        <f>Cover!D2&amp;" - "&amp;Cover!D8&amp;" v"&amp;Cover!D10&amp;" - "&amp;Cover!D19</f>
        <v>CDCM charging model - Release for charge setting v6 - 2021/22</v>
      </c>
    </row>
    <row r="4" spans="1:23" x14ac:dyDescent="0.25">
      <c r="A4" s="12" t="str">
        <f>H131 &amp; IF(H131 = 1, " issue", " issues") &amp;" identified in checks on this sheet"</f>
        <v>0 issues identified in checks on this sheet</v>
      </c>
      <c r="B4" s="13"/>
      <c r="C4" s="13"/>
      <c r="D4" s="13"/>
      <c r="E4" s="13"/>
      <c r="F4" s="13"/>
      <c r="G4" s="13"/>
      <c r="H4" s="14"/>
      <c r="I4" s="14"/>
      <c r="J4" s="13"/>
    </row>
    <row r="5" spans="1:23" x14ac:dyDescent="0.25">
      <c r="B5" s="59" t="s">
        <v>141</v>
      </c>
      <c r="C5" s="60"/>
      <c r="D5" s="60"/>
      <c r="E5" s="60"/>
      <c r="F5" s="60"/>
      <c r="G5" s="61" t="s">
        <v>142</v>
      </c>
      <c r="H5" s="62" t="s">
        <v>143</v>
      </c>
      <c r="I5" s="113"/>
      <c r="J5" s="93" t="s">
        <v>188</v>
      </c>
      <c r="K5" s="114" t="s">
        <v>190</v>
      </c>
      <c r="L5" s="114" t="s">
        <v>191</v>
      </c>
      <c r="M5" s="114" t="s">
        <v>192</v>
      </c>
      <c r="N5" s="114" t="s">
        <v>193</v>
      </c>
      <c r="O5" s="114" t="s">
        <v>194</v>
      </c>
      <c r="P5" s="114" t="s">
        <v>195</v>
      </c>
      <c r="Q5" s="114" t="s">
        <v>196</v>
      </c>
      <c r="R5" s="114" t="s">
        <v>197</v>
      </c>
      <c r="S5" s="114" t="s">
        <v>198</v>
      </c>
      <c r="T5" s="114" t="s">
        <v>375</v>
      </c>
      <c r="U5" s="114" t="s">
        <v>376</v>
      </c>
      <c r="W5" s="60" t="s">
        <v>144</v>
      </c>
    </row>
    <row r="6" spans="1:23" x14ac:dyDescent="0.25">
      <c r="H6" s="3"/>
      <c r="I6" s="3"/>
      <c r="J6" s="3"/>
      <c r="K6" s="3"/>
      <c r="L6" s="3"/>
      <c r="M6" s="3"/>
      <c r="N6" s="3"/>
      <c r="O6" s="3"/>
      <c r="P6" s="3"/>
      <c r="Q6" s="3"/>
      <c r="R6" s="3"/>
      <c r="S6" s="3"/>
      <c r="T6" s="3"/>
      <c r="U6" s="3"/>
      <c r="W6" s="3"/>
    </row>
    <row r="7" spans="1:23" x14ac:dyDescent="0.25">
      <c r="B7" s="30" t="s">
        <v>9</v>
      </c>
      <c r="C7" s="30"/>
      <c r="D7" s="30"/>
      <c r="E7" s="30"/>
      <c r="F7" s="30"/>
      <c r="G7" s="30"/>
      <c r="H7" s="30"/>
      <c r="I7" s="30"/>
      <c r="J7" s="30"/>
      <c r="K7" s="30"/>
      <c r="L7" s="30"/>
      <c r="M7" s="30"/>
      <c r="N7" s="30"/>
      <c r="O7" s="30"/>
      <c r="P7" s="30"/>
      <c r="Q7" s="30"/>
      <c r="R7" s="30"/>
      <c r="S7" s="30"/>
      <c r="T7" s="30"/>
      <c r="U7" s="30"/>
      <c r="V7" s="30"/>
      <c r="W7" s="30"/>
    </row>
    <row r="9" spans="1:23" x14ac:dyDescent="0.25">
      <c r="C9" s="29" t="s">
        <v>559</v>
      </c>
      <c r="D9" s="29"/>
    </row>
    <row r="10" spans="1:23" x14ac:dyDescent="0.25">
      <c r="C10" s="29" t="s">
        <v>560</v>
      </c>
      <c r="D10" s="29"/>
    </row>
    <row r="11" spans="1:23" x14ac:dyDescent="0.25">
      <c r="C11" s="29"/>
      <c r="D11" s="29" t="s">
        <v>561</v>
      </c>
    </row>
    <row r="12" spans="1:23" x14ac:dyDescent="0.25">
      <c r="C12" s="29"/>
      <c r="D12" s="29" t="s">
        <v>562</v>
      </c>
    </row>
    <row r="13" spans="1:23" x14ac:dyDescent="0.25">
      <c r="C13" s="29" t="s">
        <v>563</v>
      </c>
      <c r="D13" s="29"/>
    </row>
    <row r="15" spans="1:23" x14ac:dyDescent="0.25">
      <c r="B15" s="30" t="s">
        <v>564</v>
      </c>
      <c r="C15" s="30"/>
      <c r="D15" s="30"/>
      <c r="E15" s="30"/>
      <c r="F15" s="30"/>
      <c r="G15" s="30"/>
      <c r="H15" s="30"/>
      <c r="I15" s="30"/>
      <c r="J15" s="30"/>
      <c r="K15" s="30"/>
      <c r="L15" s="30"/>
      <c r="M15" s="30"/>
      <c r="N15" s="30"/>
      <c r="O15" s="30"/>
      <c r="P15" s="30"/>
      <c r="Q15" s="30"/>
      <c r="R15" s="30"/>
      <c r="S15" s="30"/>
      <c r="T15" s="30"/>
      <c r="U15" s="30"/>
      <c r="V15" s="30"/>
      <c r="W15" s="30"/>
    </row>
    <row r="16" spans="1:23" x14ac:dyDescent="0.25">
      <c r="H16" s="3"/>
      <c r="I16" s="3"/>
      <c r="J16" s="3"/>
      <c r="K16" s="3"/>
      <c r="L16" s="3"/>
      <c r="M16" s="3"/>
      <c r="N16" s="3"/>
      <c r="O16" s="3"/>
      <c r="P16" s="3"/>
      <c r="Q16" s="3"/>
      <c r="R16" s="3"/>
      <c r="S16" s="3"/>
      <c r="T16" s="3"/>
      <c r="U16" s="3"/>
      <c r="W16" s="3"/>
    </row>
    <row r="17" spans="3:25" x14ac:dyDescent="0.25">
      <c r="C17" s="29" t="s">
        <v>565</v>
      </c>
    </row>
    <row r="18" spans="3:25" x14ac:dyDescent="0.25">
      <c r="H18" s="3"/>
      <c r="I18" s="3"/>
      <c r="J18" s="3"/>
      <c r="K18" s="3"/>
      <c r="L18" s="3"/>
      <c r="M18" s="3"/>
      <c r="N18" s="3"/>
      <c r="O18" s="3"/>
      <c r="P18" s="3"/>
      <c r="Q18" s="3"/>
      <c r="R18" s="3"/>
      <c r="S18" s="3"/>
      <c r="T18" s="3"/>
      <c r="U18" s="3"/>
      <c r="W18" s="3"/>
    </row>
    <row r="19" spans="3:25" x14ac:dyDescent="0.25">
      <c r="C19" s="31" t="str">
        <f ca="1">INDEX('Version control'!$H$34:$H$57,MATCH($A$1,'Version control'!$F$34:$F$57,0),1)&amp;"-A: Financial data"</f>
        <v>Section 108-A: Financial data</v>
      </c>
      <c r="D19" s="31"/>
      <c r="E19" s="31"/>
      <c r="F19" s="31"/>
      <c r="G19" s="31"/>
      <c r="H19" s="175"/>
      <c r="I19" s="175"/>
      <c r="J19" s="175"/>
      <c r="K19" s="175"/>
      <c r="L19" s="175"/>
      <c r="M19" s="175"/>
      <c r="N19" s="175"/>
      <c r="O19" s="175"/>
      <c r="P19" s="175"/>
      <c r="Q19" s="175"/>
      <c r="R19" s="175"/>
      <c r="S19" s="175"/>
      <c r="T19" s="175"/>
      <c r="U19" s="175"/>
      <c r="V19" s="31"/>
      <c r="W19" s="175"/>
    </row>
    <row r="20" spans="3:25" x14ac:dyDescent="0.25">
      <c r="H20" s="3"/>
    </row>
    <row r="21" spans="3:25" x14ac:dyDescent="0.25">
      <c r="D21" s="29" t="s">
        <v>566</v>
      </c>
      <c r="I21" s="3" t="s">
        <v>153</v>
      </c>
      <c r="J21" s="3"/>
      <c r="K21" s="3"/>
      <c r="L21" s="3"/>
      <c r="M21" s="3"/>
      <c r="N21" s="3"/>
      <c r="O21" s="3"/>
      <c r="P21" s="3"/>
      <c r="Q21" s="3"/>
      <c r="R21" s="3"/>
      <c r="S21" s="3"/>
      <c r="T21" s="3"/>
      <c r="U21" s="3"/>
      <c r="W21" s="3" t="s">
        <v>164</v>
      </c>
    </row>
    <row r="22" spans="3:25" x14ac:dyDescent="0.25">
      <c r="D22" s="29"/>
    </row>
    <row r="23" spans="3:25" x14ac:dyDescent="0.25">
      <c r="D23" s="88"/>
      <c r="E23" s="28" t="s">
        <v>352</v>
      </c>
      <c r="G23" s="28" t="s">
        <v>166</v>
      </c>
      <c r="H23" s="116">
        <f>'General inputs'!H91</f>
        <v>3.6900000000000002E-2</v>
      </c>
      <c r="I23" s="3"/>
      <c r="J23" s="3"/>
      <c r="K23" s="3"/>
      <c r="L23" s="3"/>
      <c r="M23" s="3"/>
      <c r="N23" s="3"/>
      <c r="O23" s="3"/>
      <c r="P23" s="3"/>
      <c r="Q23" s="3"/>
      <c r="R23" s="3"/>
      <c r="S23" s="3"/>
      <c r="T23" s="3"/>
      <c r="U23" s="3"/>
    </row>
    <row r="24" spans="3:25" x14ac:dyDescent="0.25">
      <c r="D24" s="88"/>
      <c r="E24" s="28" t="s">
        <v>162</v>
      </c>
      <c r="G24" s="28" t="s">
        <v>163</v>
      </c>
      <c r="H24" s="52">
        <f>'Fixed inputs'!H35</f>
        <v>40</v>
      </c>
      <c r="I24" s="3"/>
      <c r="J24" s="3"/>
      <c r="K24" s="3"/>
      <c r="L24" s="3"/>
      <c r="M24" s="3"/>
      <c r="N24" s="3"/>
      <c r="O24" s="3"/>
      <c r="P24" s="3"/>
      <c r="Q24" s="3"/>
      <c r="R24" s="3"/>
      <c r="S24" s="3"/>
      <c r="T24" s="3"/>
      <c r="U24" s="3"/>
      <c r="W24" s="3"/>
    </row>
    <row r="25" spans="3:25" x14ac:dyDescent="0.25">
      <c r="E25" s="28" t="s">
        <v>567</v>
      </c>
      <c r="G25" s="28" t="s">
        <v>166</v>
      </c>
      <c r="H25" s="176">
        <f>H23 / (1 - (1 + H23) ^ -H24)</f>
        <v>4.8216791977211342E-2</v>
      </c>
      <c r="I25" s="3"/>
      <c r="J25" s="3"/>
      <c r="K25" s="3"/>
      <c r="L25" s="3"/>
      <c r="M25" s="3"/>
      <c r="N25" s="3"/>
      <c r="O25" s="3"/>
      <c r="P25" s="3"/>
      <c r="Q25" s="3"/>
      <c r="R25" s="3"/>
      <c r="S25" s="3"/>
      <c r="T25" s="3"/>
      <c r="U25" s="3"/>
      <c r="W25" s="3"/>
    </row>
    <row r="26" spans="3:25" x14ac:dyDescent="0.25">
      <c r="H26" s="3"/>
      <c r="I26" s="3"/>
      <c r="J26" s="3"/>
      <c r="K26" s="3"/>
      <c r="L26" s="3"/>
      <c r="M26" s="3"/>
      <c r="N26" s="3"/>
      <c r="O26" s="3"/>
      <c r="P26" s="3"/>
      <c r="Q26" s="3"/>
      <c r="R26" s="3"/>
      <c r="S26" s="3"/>
      <c r="T26" s="3"/>
      <c r="U26" s="3"/>
      <c r="W26" s="3"/>
    </row>
    <row r="27" spans="3:25" x14ac:dyDescent="0.25">
      <c r="C27" s="31" t="str">
        <f ca="1">INDEX('Version control'!$H$34:$H$57,MATCH($A$1,'Version control'!$F$34:$F$57,0),1)&amp;"-B: Diversity and loss adjustment factors"</f>
        <v>Section 108-B: Diversity and loss adjustment factors</v>
      </c>
      <c r="D27" s="31"/>
      <c r="E27" s="31"/>
      <c r="F27" s="31"/>
      <c r="G27" s="31"/>
      <c r="H27" s="175"/>
      <c r="I27" s="175"/>
      <c r="J27" s="175"/>
      <c r="K27" s="175"/>
      <c r="L27" s="175"/>
      <c r="M27" s="175"/>
      <c r="N27" s="175"/>
      <c r="O27" s="175"/>
      <c r="P27" s="175"/>
      <c r="Q27" s="175"/>
      <c r="R27" s="175"/>
      <c r="S27" s="175"/>
      <c r="T27" s="175"/>
      <c r="U27" s="175"/>
      <c r="V27" s="31"/>
      <c r="W27" s="175"/>
    </row>
    <row r="28" spans="3:25" x14ac:dyDescent="0.25">
      <c r="E28" s="32"/>
      <c r="F28" s="115"/>
      <c r="H28" s="3"/>
      <c r="I28" s="3"/>
      <c r="J28" s="3"/>
      <c r="K28" s="3"/>
      <c r="L28" s="3"/>
      <c r="M28" s="3"/>
      <c r="N28" s="3"/>
      <c r="O28" s="3"/>
      <c r="P28" s="3"/>
      <c r="Q28" s="3"/>
      <c r="R28" s="3"/>
      <c r="S28" s="3"/>
      <c r="T28" s="3"/>
      <c r="U28" s="3"/>
    </row>
    <row r="29" spans="3:25" x14ac:dyDescent="0.25">
      <c r="D29" s="29" t="s">
        <v>568</v>
      </c>
      <c r="F29" s="115"/>
      <c r="H29" s="3"/>
      <c r="I29" s="3"/>
      <c r="J29" s="3"/>
      <c r="K29" s="3"/>
      <c r="L29" s="3"/>
      <c r="M29" s="3"/>
      <c r="N29" s="3"/>
      <c r="O29" s="3"/>
      <c r="P29" s="3"/>
      <c r="Q29" s="3"/>
      <c r="R29" s="3"/>
      <c r="S29" s="3"/>
      <c r="T29" s="3"/>
      <c r="U29" s="3"/>
    </row>
    <row r="30" spans="3:25" x14ac:dyDescent="0.25">
      <c r="D30" s="29"/>
      <c r="F30" s="115"/>
      <c r="H30" s="3"/>
      <c r="I30" s="3"/>
      <c r="J30" s="3"/>
      <c r="K30" s="3"/>
      <c r="L30" s="3"/>
      <c r="M30" s="3"/>
      <c r="N30" s="3"/>
      <c r="O30" s="3"/>
      <c r="P30" s="3"/>
      <c r="Q30" s="3"/>
      <c r="R30" s="3"/>
      <c r="S30" s="3"/>
      <c r="T30" s="3"/>
      <c r="U30" s="3"/>
    </row>
    <row r="31" spans="3:25" x14ac:dyDescent="0.25">
      <c r="E31" t="s">
        <v>569</v>
      </c>
      <c r="F31" s="119"/>
      <c r="G31" s="28" t="s">
        <v>570</v>
      </c>
      <c r="H31" s="3"/>
      <c r="I31" s="3"/>
      <c r="J31" s="79"/>
      <c r="K31" s="120">
        <f>'Load &amp; loss characteristics'!K29</f>
        <v>1</v>
      </c>
      <c r="L31" s="120">
        <f>'Load &amp; loss characteristics'!L29</f>
        <v>1</v>
      </c>
      <c r="M31" s="120">
        <f>'Load &amp; loss characteristics'!M29</f>
        <v>1</v>
      </c>
      <c r="N31" s="120">
        <f>'Load &amp; loss characteristics'!N29</f>
        <v>1.004</v>
      </c>
      <c r="O31" s="120">
        <f>'Load &amp; loss characteristics'!O29</f>
        <v>1.0129999999999999</v>
      </c>
      <c r="P31" s="120">
        <f>'Load &amp; loss characteristics'!P29</f>
        <v>1.0129999999999999</v>
      </c>
      <c r="Q31" s="120">
        <f>'Load &amp; loss characteristics'!Q29</f>
        <v>1.026</v>
      </c>
      <c r="R31" s="120">
        <f>'Load &amp; loss characteristics'!R29</f>
        <v>1.044</v>
      </c>
      <c r="S31" s="120">
        <f>'Load &amp; loss characteristics'!S29</f>
        <v>1.0980000000000001</v>
      </c>
      <c r="T31" s="79"/>
      <c r="U31" s="79"/>
    </row>
    <row r="32" spans="3:25" x14ac:dyDescent="0.25">
      <c r="E32" t="s">
        <v>571</v>
      </c>
      <c r="F32" s="177"/>
      <c r="G32" s="28" t="s">
        <v>166</v>
      </c>
      <c r="H32" s="3"/>
      <c r="I32" s="3"/>
      <c r="J32" s="178"/>
      <c r="K32" s="179">
        <f>'Load &amp; loss characteristics'!$K$23</f>
        <v>0.1160000000000001</v>
      </c>
      <c r="L32" s="180"/>
      <c r="M32" s="180"/>
      <c r="N32" s="180"/>
      <c r="O32" s="180"/>
      <c r="P32" s="178"/>
      <c r="Q32" s="180"/>
      <c r="R32" s="180"/>
      <c r="S32" s="180"/>
      <c r="T32" s="178"/>
      <c r="U32" s="178"/>
      <c r="Y32" s="181"/>
    </row>
    <row r="33" spans="3:23" x14ac:dyDescent="0.25">
      <c r="E33" t="s">
        <v>572</v>
      </c>
      <c r="F33" s="119"/>
      <c r="G33" s="28" t="s">
        <v>166</v>
      </c>
      <c r="H33" s="3"/>
      <c r="I33" s="3"/>
      <c r="J33" s="70"/>
      <c r="K33" s="176">
        <f xml:space="preserve"> 1 / (1 + K32)</f>
        <v>0.8960573476702508</v>
      </c>
      <c r="L33" s="180"/>
      <c r="M33" s="180"/>
      <c r="N33" s="180"/>
      <c r="O33" s="180"/>
      <c r="P33" s="180"/>
      <c r="Q33" s="180"/>
      <c r="R33" s="180"/>
      <c r="S33" s="180"/>
      <c r="T33" s="178"/>
      <c r="U33" s="178"/>
      <c r="W33" s="3"/>
    </row>
    <row r="34" spans="3:23" x14ac:dyDescent="0.25">
      <c r="F34" s="119"/>
      <c r="G34" s="28"/>
      <c r="H34" s="3"/>
      <c r="I34" s="3"/>
      <c r="J34" s="3"/>
      <c r="K34" s="3"/>
      <c r="L34" s="3"/>
      <c r="M34" s="3"/>
      <c r="N34" s="3"/>
      <c r="O34" s="3"/>
      <c r="P34" s="3"/>
      <c r="Q34" s="3"/>
      <c r="R34" s="3"/>
      <c r="S34" s="3"/>
      <c r="T34" s="3"/>
      <c r="U34" s="3"/>
      <c r="V34" s="3"/>
      <c r="W34" s="3"/>
    </row>
    <row r="35" spans="3:23" x14ac:dyDescent="0.25">
      <c r="C35" s="31" t="str">
        <f ca="1">INDEX('Version control'!$H$34:$H$57,MATCH($A$1,'Version control'!$F$34:$F$57,0),1)&amp;"-C: Maximum demand"</f>
        <v>Section 108-C: Maximum demand</v>
      </c>
      <c r="D35" s="31"/>
      <c r="E35" s="31"/>
      <c r="F35" s="31"/>
      <c r="G35" s="31"/>
      <c r="H35" s="175"/>
      <c r="I35" s="175"/>
      <c r="J35" s="175"/>
      <c r="K35" s="175"/>
      <c r="L35" s="175"/>
      <c r="M35" s="175"/>
      <c r="N35" s="175"/>
      <c r="O35" s="175"/>
      <c r="P35" s="175"/>
      <c r="Q35" s="175"/>
      <c r="R35" s="175"/>
      <c r="S35" s="175"/>
      <c r="T35" s="175"/>
      <c r="U35" s="175"/>
      <c r="V35" s="31"/>
      <c r="W35" s="175"/>
    </row>
    <row r="36" spans="3:23" x14ac:dyDescent="0.25">
      <c r="E36" s="32"/>
      <c r="F36" s="115"/>
      <c r="H36" s="3"/>
      <c r="J36" s="3"/>
      <c r="K36" s="3"/>
      <c r="L36" s="3"/>
      <c r="M36" s="3"/>
      <c r="N36" s="3"/>
      <c r="O36" s="3"/>
      <c r="P36" s="3"/>
      <c r="Q36" s="3"/>
      <c r="R36" s="3"/>
      <c r="S36" s="3"/>
      <c r="T36" s="3"/>
      <c r="U36" s="3"/>
    </row>
    <row r="37" spans="3:23" x14ac:dyDescent="0.25">
      <c r="D37" s="29" t="s">
        <v>573</v>
      </c>
      <c r="F37" s="115"/>
      <c r="H37" s="3"/>
      <c r="I37" s="3"/>
      <c r="J37" s="3"/>
      <c r="K37" s="3"/>
      <c r="L37" s="3"/>
      <c r="M37" s="3"/>
      <c r="N37" s="3"/>
      <c r="O37" s="3"/>
      <c r="P37" s="3"/>
      <c r="Q37" s="3"/>
      <c r="R37" s="3"/>
      <c r="S37" s="3"/>
      <c r="T37" s="3"/>
      <c r="U37" s="3"/>
      <c r="W37" s="3"/>
    </row>
    <row r="38" spans="3:23" x14ac:dyDescent="0.25">
      <c r="D38" s="29"/>
      <c r="F38" s="115"/>
      <c r="H38" s="3"/>
      <c r="I38" s="3"/>
      <c r="J38" s="3"/>
      <c r="K38" s="3"/>
      <c r="L38" s="3"/>
      <c r="M38" s="3"/>
      <c r="N38" s="3"/>
      <c r="O38" s="3"/>
      <c r="P38" s="3"/>
      <c r="Q38" s="3"/>
      <c r="R38" s="3"/>
      <c r="S38" s="3"/>
      <c r="T38" s="3"/>
      <c r="U38" s="3"/>
      <c r="W38" s="3"/>
    </row>
    <row r="39" spans="3:23" x14ac:dyDescent="0.25">
      <c r="D39" s="88"/>
      <c r="E39" t="s">
        <v>170</v>
      </c>
      <c r="F39" s="119"/>
      <c r="G39" s="28" t="s">
        <v>171</v>
      </c>
      <c r="H39" s="120">
        <f>'Fixed inputs'!H41</f>
        <v>500</v>
      </c>
      <c r="I39" s="3"/>
      <c r="J39" s="79"/>
      <c r="K39" s="79"/>
      <c r="L39" s="79"/>
      <c r="M39" s="79"/>
      <c r="N39" s="79"/>
      <c r="O39" s="79"/>
      <c r="P39" s="79"/>
      <c r="Q39" s="79"/>
      <c r="R39" s="79"/>
      <c r="S39" s="79"/>
      <c r="T39" s="79"/>
      <c r="U39" s="79"/>
      <c r="W39" s="3"/>
    </row>
    <row r="40" spans="3:23" x14ac:dyDescent="0.25">
      <c r="E40" t="s">
        <v>574</v>
      </c>
      <c r="F40" s="119"/>
      <c r="G40" s="28" t="s">
        <v>171</v>
      </c>
      <c r="H40" s="3"/>
      <c r="I40" s="3" t="s">
        <v>153</v>
      </c>
      <c r="J40" s="79"/>
      <c r="K40" s="182">
        <f t="shared" ref="K40:S40" si="0">$H$39 * $K$33 / K31</f>
        <v>448.0286738351254</v>
      </c>
      <c r="L40" s="182">
        <f t="shared" si="0"/>
        <v>448.0286738351254</v>
      </c>
      <c r="M40" s="182">
        <f t="shared" si="0"/>
        <v>448.0286738351254</v>
      </c>
      <c r="N40" s="182">
        <f t="shared" si="0"/>
        <v>446.24369903896951</v>
      </c>
      <c r="O40" s="182">
        <f t="shared" si="0"/>
        <v>442.27904623408239</v>
      </c>
      <c r="P40" s="182">
        <f t="shared" si="0"/>
        <v>442.27904623408239</v>
      </c>
      <c r="Q40" s="182">
        <f t="shared" si="0"/>
        <v>436.67512069700331</v>
      </c>
      <c r="R40" s="182">
        <f t="shared" si="0"/>
        <v>429.14623930567564</v>
      </c>
      <c r="S40" s="182">
        <f t="shared" si="0"/>
        <v>408.04068655293747</v>
      </c>
      <c r="T40" s="79"/>
      <c r="U40" s="79"/>
      <c r="W40" s="3" t="s">
        <v>575</v>
      </c>
    </row>
    <row r="41" spans="3:23" x14ac:dyDescent="0.25">
      <c r="F41" s="119"/>
      <c r="G41" s="28"/>
      <c r="H41" s="3"/>
      <c r="I41" s="3"/>
      <c r="J41" s="3"/>
      <c r="K41" s="3"/>
      <c r="L41" s="3"/>
      <c r="M41" s="3"/>
      <c r="N41" s="3"/>
      <c r="O41" s="3"/>
      <c r="P41" s="3"/>
      <c r="Q41" s="3"/>
      <c r="R41" s="3"/>
      <c r="S41" s="3"/>
      <c r="T41" s="3"/>
      <c r="U41" s="3"/>
      <c r="V41" s="3"/>
      <c r="W41" s="3"/>
    </row>
    <row r="42" spans="3:23" x14ac:dyDescent="0.25">
      <c r="C42" s="31" t="str">
        <f ca="1">INDEX('Version control'!$H$34:$H$57,MATCH($A$1,'Version control'!$F$34:$F$57,0),1)&amp;"-D: Rerouting matrix"</f>
        <v>Section 108-D: Rerouting matrix</v>
      </c>
      <c r="D42" s="31"/>
      <c r="E42" s="31"/>
      <c r="F42" s="31"/>
      <c r="G42" s="31"/>
      <c r="H42" s="175"/>
      <c r="I42" s="175"/>
      <c r="J42" s="175"/>
      <c r="K42" s="175"/>
      <c r="L42" s="175"/>
      <c r="M42" s="175"/>
      <c r="N42" s="175"/>
      <c r="O42" s="175"/>
      <c r="P42" s="175"/>
      <c r="Q42" s="175"/>
      <c r="R42" s="175"/>
      <c r="S42" s="175"/>
      <c r="T42" s="175"/>
      <c r="U42" s="175"/>
      <c r="V42" s="31"/>
      <c r="W42" s="175"/>
    </row>
    <row r="43" spans="3:23" x14ac:dyDescent="0.25">
      <c r="E43" s="32"/>
      <c r="F43" s="115"/>
      <c r="H43" s="3"/>
      <c r="I43" s="3"/>
      <c r="J43" s="3"/>
      <c r="K43" s="3"/>
      <c r="L43" s="3"/>
      <c r="M43" s="3"/>
      <c r="N43" s="3"/>
      <c r="O43" s="3"/>
      <c r="P43" s="3"/>
      <c r="Q43" s="3"/>
      <c r="R43" s="3"/>
      <c r="S43" s="3"/>
      <c r="T43" s="3"/>
      <c r="U43" s="3"/>
      <c r="W43" s="3"/>
    </row>
    <row r="44" spans="3:23" x14ac:dyDescent="0.25">
      <c r="D44" s="29" t="s">
        <v>576</v>
      </c>
      <c r="F44" s="115"/>
      <c r="H44" s="3"/>
      <c r="I44" s="3"/>
      <c r="J44" s="3"/>
      <c r="K44" s="3"/>
      <c r="L44" s="3"/>
      <c r="M44" s="3"/>
      <c r="N44" s="3"/>
      <c r="O44" s="3"/>
      <c r="P44" s="3"/>
      <c r="Q44" s="3"/>
      <c r="R44" s="3"/>
      <c r="S44" s="3"/>
      <c r="T44" s="3"/>
      <c r="U44" s="3"/>
      <c r="W44" s="3"/>
    </row>
    <row r="45" spans="3:23" x14ac:dyDescent="0.25">
      <c r="D45" s="29"/>
      <c r="F45" s="115"/>
      <c r="H45" s="3"/>
      <c r="I45" s="3"/>
      <c r="J45" s="3"/>
      <c r="K45" s="3"/>
      <c r="L45" s="3"/>
      <c r="M45" s="3"/>
      <c r="N45" s="3"/>
      <c r="O45" s="3"/>
      <c r="P45" s="3"/>
      <c r="Q45" s="3"/>
      <c r="R45" s="3"/>
      <c r="S45" s="3"/>
      <c r="T45" s="3"/>
      <c r="U45" s="3"/>
      <c r="W45" s="3"/>
    </row>
    <row r="46" spans="3:23" x14ac:dyDescent="0.25">
      <c r="D46" s="88"/>
      <c r="E46" s="28" t="s">
        <v>280</v>
      </c>
      <c r="G46" s="28" t="s">
        <v>166</v>
      </c>
      <c r="H46" s="3"/>
      <c r="I46" s="3"/>
      <c r="J46" s="180"/>
      <c r="K46" s="180"/>
      <c r="L46" s="180"/>
      <c r="M46" s="180"/>
      <c r="N46" s="180"/>
      <c r="O46" s="180"/>
      <c r="P46" s="179">
        <f>'Inputs by network level'!P17</f>
        <v>0</v>
      </c>
      <c r="Q46" s="180"/>
      <c r="R46" s="180"/>
      <c r="S46" s="180"/>
      <c r="T46" s="180"/>
      <c r="U46" s="180"/>
      <c r="W46" s="3"/>
    </row>
    <row r="47" spans="3:23" x14ac:dyDescent="0.25">
      <c r="E47" s="28" t="s">
        <v>577</v>
      </c>
      <c r="G47" s="28" t="s">
        <v>166</v>
      </c>
      <c r="H47" s="3"/>
      <c r="I47" s="3"/>
      <c r="J47" s="180"/>
      <c r="K47" s="180"/>
      <c r="L47" s="180"/>
      <c r="M47" s="176">
        <f>IF(M46 = "", 1 - $P$46, M46)</f>
        <v>1</v>
      </c>
      <c r="N47" s="176">
        <f>IF(N46 = "", 1 - $P$46, N46)</f>
        <v>1</v>
      </c>
      <c r="O47" s="176">
        <f>IF(O46 = "", 1 - $P$46, O46)</f>
        <v>1</v>
      </c>
      <c r="P47" s="176">
        <f>IF(P46 = "", 1 - $P$46, P46)</f>
        <v>0</v>
      </c>
      <c r="Q47" s="180"/>
      <c r="R47" s="180"/>
      <c r="S47" s="180"/>
      <c r="T47" s="180"/>
      <c r="U47" s="180"/>
      <c r="W47" s="3"/>
    </row>
    <row r="48" spans="3:23" x14ac:dyDescent="0.25">
      <c r="E48" s="28" t="s">
        <v>578</v>
      </c>
      <c r="G48" s="28" t="s">
        <v>171</v>
      </c>
      <c r="H48" s="3"/>
      <c r="I48" s="3"/>
      <c r="J48" s="79"/>
      <c r="K48" s="98">
        <f t="shared" ref="K48:S48" si="1">IF(K47 = "", K40, K47 * K40)</f>
        <v>448.0286738351254</v>
      </c>
      <c r="L48" s="98">
        <f t="shared" si="1"/>
        <v>448.0286738351254</v>
      </c>
      <c r="M48" s="98">
        <f t="shared" si="1"/>
        <v>448.0286738351254</v>
      </c>
      <c r="N48" s="98">
        <f t="shared" si="1"/>
        <v>446.24369903896951</v>
      </c>
      <c r="O48" s="98">
        <f t="shared" si="1"/>
        <v>442.27904623408239</v>
      </c>
      <c r="P48" s="98">
        <f t="shared" si="1"/>
        <v>0</v>
      </c>
      <c r="Q48" s="98">
        <f t="shared" si="1"/>
        <v>436.67512069700331</v>
      </c>
      <c r="R48" s="98">
        <f t="shared" si="1"/>
        <v>429.14623930567564</v>
      </c>
      <c r="S48" s="98">
        <f t="shared" si="1"/>
        <v>408.04068655293747</v>
      </c>
      <c r="T48" s="79"/>
      <c r="U48" s="79"/>
      <c r="W48" s="3"/>
    </row>
    <row r="49" spans="2:23" x14ac:dyDescent="0.25">
      <c r="E49" s="28"/>
      <c r="G49" s="28"/>
      <c r="H49" s="3"/>
      <c r="I49" s="3"/>
      <c r="J49" s="3"/>
      <c r="K49" s="3"/>
      <c r="L49" s="3"/>
      <c r="M49" s="3"/>
      <c r="N49" s="3"/>
      <c r="O49" s="3"/>
      <c r="P49" s="3"/>
      <c r="Q49" s="3"/>
      <c r="R49" s="3"/>
      <c r="S49" s="3"/>
      <c r="T49" s="3"/>
      <c r="U49" s="3"/>
      <c r="V49" s="3"/>
      <c r="W49" s="3"/>
    </row>
    <row r="50" spans="2:23" x14ac:dyDescent="0.25">
      <c r="C50" s="31" t="str">
        <f ca="1">INDEX('Version control'!$H$34:$H$57,MATCH($A$1,'Version control'!$F$34:$F$57,0),1)&amp;"-E: Annuitised cost of assets"</f>
        <v>Section 108-E: Annuitised cost of assets</v>
      </c>
      <c r="D50" s="31"/>
      <c r="E50" s="31"/>
      <c r="F50" s="31"/>
      <c r="G50" s="31"/>
      <c r="H50" s="175"/>
      <c r="I50" s="175"/>
      <c r="J50" s="175"/>
      <c r="K50" s="175"/>
      <c r="L50" s="175"/>
      <c r="M50" s="175"/>
      <c r="N50" s="175"/>
      <c r="O50" s="175"/>
      <c r="P50" s="175"/>
      <c r="Q50" s="175"/>
      <c r="R50" s="175"/>
      <c r="S50" s="175"/>
      <c r="T50" s="175"/>
      <c r="U50" s="175"/>
      <c r="V50" s="31"/>
      <c r="W50" s="175"/>
    </row>
    <row r="51" spans="2:23" x14ac:dyDescent="0.25">
      <c r="E51" s="32"/>
      <c r="F51" s="115"/>
      <c r="H51" s="3"/>
      <c r="J51" s="3"/>
      <c r="K51" s="3"/>
      <c r="L51" s="113"/>
      <c r="M51" s="113"/>
      <c r="N51" s="113"/>
      <c r="O51" s="113"/>
      <c r="P51" s="113"/>
      <c r="Q51" s="113"/>
      <c r="R51" s="113"/>
      <c r="S51" s="113"/>
      <c r="T51" s="113"/>
      <c r="U51" s="183"/>
    </row>
    <row r="52" spans="2:23" x14ac:dyDescent="0.25">
      <c r="D52" s="29" t="s">
        <v>579</v>
      </c>
      <c r="F52" s="115"/>
      <c r="H52" s="3"/>
      <c r="I52" s="3"/>
      <c r="J52" s="3"/>
      <c r="K52" s="3"/>
      <c r="L52" s="113"/>
      <c r="M52" s="113"/>
      <c r="N52" s="113"/>
      <c r="O52" s="113"/>
      <c r="P52" s="113"/>
      <c r="Q52" s="113"/>
      <c r="R52" s="113"/>
      <c r="S52" s="113"/>
      <c r="T52" s="113"/>
      <c r="U52" s="183"/>
    </row>
    <row r="53" spans="2:23" x14ac:dyDescent="0.25">
      <c r="D53" s="29"/>
      <c r="F53" s="115"/>
      <c r="H53" s="3"/>
      <c r="I53" s="3"/>
      <c r="J53" s="3"/>
      <c r="K53" s="3"/>
      <c r="L53" s="113"/>
      <c r="M53" s="113"/>
      <c r="N53" s="113"/>
      <c r="O53" s="113"/>
      <c r="P53" s="113"/>
      <c r="Q53" s="113"/>
      <c r="R53" s="113"/>
      <c r="S53" s="113"/>
      <c r="T53" s="113"/>
      <c r="U53" s="183"/>
    </row>
    <row r="54" spans="2:23" x14ac:dyDescent="0.25">
      <c r="E54" t="s">
        <v>580</v>
      </c>
      <c r="F54" s="177"/>
      <c r="G54" s="28" t="s">
        <v>276</v>
      </c>
      <c r="H54" s="3"/>
      <c r="I54" s="3"/>
      <c r="J54" s="79"/>
      <c r="K54" s="79"/>
      <c r="L54" s="120">
        <f>'Inputs by network level'!L33</f>
        <v>0</v>
      </c>
      <c r="M54" s="120">
        <f>'Inputs by network level'!M33</f>
        <v>0</v>
      </c>
      <c r="N54" s="120">
        <f>'Inputs by network level'!N33</f>
        <v>115483848.7018043</v>
      </c>
      <c r="O54" s="120">
        <f>'Inputs by network level'!O33</f>
        <v>29592148.796136998</v>
      </c>
      <c r="P54" s="120">
        <f>'Inputs by network level'!P33</f>
        <v>0</v>
      </c>
      <c r="Q54" s="120">
        <f>'Inputs by network level'!Q33</f>
        <v>127306253.13245735</v>
      </c>
      <c r="R54" s="120">
        <f>'Inputs by network level'!R33</f>
        <v>31995666.142905347</v>
      </c>
      <c r="S54" s="120">
        <f>'Inputs by network level'!S33</f>
        <v>53817722.025625169</v>
      </c>
      <c r="T54" s="79"/>
      <c r="U54" s="79"/>
      <c r="W54" s="3"/>
    </row>
    <row r="55" spans="2:23" x14ac:dyDescent="0.25">
      <c r="E55" t="s">
        <v>581</v>
      </c>
      <c r="F55" s="177"/>
      <c r="G55" s="28" t="s">
        <v>582</v>
      </c>
      <c r="H55" s="3"/>
      <c r="I55" s="3"/>
      <c r="J55" s="79"/>
      <c r="K55" s="79"/>
      <c r="L55" s="98">
        <f t="shared" ref="L55:S55" si="2">IF(L48 = 0, 0, L54 / (L48 * thousand))</f>
        <v>0</v>
      </c>
      <c r="M55" s="98">
        <f t="shared" si="2"/>
        <v>0</v>
      </c>
      <c r="N55" s="98">
        <f t="shared" si="2"/>
        <v>258.79099010363694</v>
      </c>
      <c r="O55" s="98">
        <f t="shared" si="2"/>
        <v>66.908321902446488</v>
      </c>
      <c r="P55" s="98">
        <f t="shared" si="2"/>
        <v>0</v>
      </c>
      <c r="Q55" s="98">
        <f t="shared" si="2"/>
        <v>291.53539347342758</v>
      </c>
      <c r="R55" s="98">
        <f t="shared" si="2"/>
        <v>74.556557211527206</v>
      </c>
      <c r="S55" s="98">
        <f t="shared" si="2"/>
        <v>131.89302880619255</v>
      </c>
      <c r="T55" s="79"/>
      <c r="U55" s="79"/>
      <c r="W55" s="3"/>
    </row>
    <row r="56" spans="2:23" x14ac:dyDescent="0.25">
      <c r="E56" t="s">
        <v>583</v>
      </c>
      <c r="F56" s="177"/>
      <c r="G56" s="28" t="s">
        <v>584</v>
      </c>
      <c r="H56" s="3"/>
      <c r="I56" s="3" t="s">
        <v>153</v>
      </c>
      <c r="J56" s="79"/>
      <c r="K56" s="79"/>
      <c r="L56" s="98">
        <f t="shared" ref="L56:S56" si="3">L55 * $H$25</f>
        <v>0</v>
      </c>
      <c r="M56" s="98">
        <f t="shared" si="3"/>
        <v>0</v>
      </c>
      <c r="N56" s="98">
        <f t="shared" si="3"/>
        <v>12.478071335403621</v>
      </c>
      <c r="O56" s="98">
        <f t="shared" si="3"/>
        <v>3.2261046387145558</v>
      </c>
      <c r="P56" s="98">
        <f t="shared" si="3"/>
        <v>0</v>
      </c>
      <c r="Q56" s="98">
        <f t="shared" si="3"/>
        <v>14.056901421102715</v>
      </c>
      <c r="R56" s="98">
        <f t="shared" si="3"/>
        <v>3.5948780096052633</v>
      </c>
      <c r="S56" s="98">
        <f t="shared" si="3"/>
        <v>6.359458733192529</v>
      </c>
      <c r="T56" s="79"/>
      <c r="U56" s="79"/>
      <c r="W56" s="3" t="s">
        <v>585</v>
      </c>
    </row>
    <row r="57" spans="2:23" x14ac:dyDescent="0.25">
      <c r="H57" s="3"/>
      <c r="I57" s="3"/>
      <c r="J57" s="127"/>
      <c r="K57" s="127"/>
      <c r="L57" s="127"/>
      <c r="M57" s="127"/>
      <c r="N57" s="127"/>
      <c r="O57" s="127"/>
      <c r="P57" s="127"/>
      <c r="Q57" s="127"/>
      <c r="R57" s="127"/>
      <c r="S57" s="127"/>
      <c r="T57" s="127"/>
      <c r="U57" s="127"/>
      <c r="W57" s="3"/>
    </row>
    <row r="58" spans="2:23" x14ac:dyDescent="0.25">
      <c r="B58" s="30" t="s">
        <v>586</v>
      </c>
      <c r="C58" s="30"/>
      <c r="D58" s="30"/>
      <c r="E58" s="30"/>
      <c r="F58" s="30"/>
      <c r="G58" s="30"/>
      <c r="H58" s="30"/>
      <c r="I58" s="30"/>
      <c r="J58" s="184"/>
      <c r="K58" s="184"/>
      <c r="L58" s="184"/>
      <c r="M58" s="184"/>
      <c r="N58" s="184"/>
      <c r="O58" s="184"/>
      <c r="P58" s="184"/>
      <c r="Q58" s="184"/>
      <c r="R58" s="184"/>
      <c r="S58" s="184"/>
      <c r="T58" s="184"/>
      <c r="U58" s="184"/>
      <c r="V58" s="30"/>
      <c r="W58" s="30"/>
    </row>
    <row r="59" spans="2:23" x14ac:dyDescent="0.25">
      <c r="J59" s="89"/>
      <c r="K59" s="89"/>
      <c r="L59" s="89"/>
      <c r="M59" s="89"/>
      <c r="N59" s="89"/>
      <c r="O59" s="89"/>
      <c r="P59" s="89"/>
      <c r="Q59" s="89"/>
      <c r="R59" s="89"/>
      <c r="S59" s="89"/>
      <c r="T59" s="89"/>
      <c r="U59" s="89"/>
    </row>
    <row r="60" spans="2:23" x14ac:dyDescent="0.25">
      <c r="C60" s="29" t="s">
        <v>587</v>
      </c>
      <c r="J60" s="89"/>
      <c r="K60" s="89"/>
      <c r="L60" s="89"/>
      <c r="M60" s="89"/>
      <c r="N60" s="89"/>
      <c r="O60" s="89"/>
      <c r="P60" s="89"/>
      <c r="Q60" s="89"/>
      <c r="R60" s="89"/>
      <c r="S60" s="89"/>
      <c r="T60" s="89"/>
      <c r="U60" s="89"/>
    </row>
    <row r="61" spans="2:23" x14ac:dyDescent="0.25">
      <c r="J61" s="89"/>
      <c r="K61" s="89"/>
      <c r="L61" s="89"/>
      <c r="M61" s="89"/>
      <c r="N61" s="89"/>
      <c r="O61" s="89"/>
      <c r="P61" s="89"/>
      <c r="Q61" s="89"/>
      <c r="R61" s="89"/>
      <c r="S61" s="89"/>
      <c r="T61" s="89"/>
      <c r="U61" s="89"/>
    </row>
    <row r="62" spans="2:23" x14ac:dyDescent="0.25">
      <c r="C62" s="31" t="str">
        <f ca="1">INDEX('Version control'!$H$34:$H$57,MATCH($A$1,'Version control'!$F$34:$F$57,0),1)&amp;"-F: System simultaneous peak load based on charegable units"</f>
        <v>Section 108-F: System simultaneous peak load based on charegable units</v>
      </c>
      <c r="D62" s="31"/>
      <c r="E62" s="31"/>
      <c r="F62" s="31"/>
      <c r="G62" s="31"/>
      <c r="H62" s="175"/>
      <c r="I62" s="175"/>
      <c r="J62" s="185"/>
      <c r="K62" s="185"/>
      <c r="L62" s="185"/>
      <c r="M62" s="185"/>
      <c r="N62" s="185"/>
      <c r="O62" s="185"/>
      <c r="P62" s="185"/>
      <c r="Q62" s="185"/>
      <c r="R62" s="185"/>
      <c r="S62" s="185"/>
      <c r="T62" s="185"/>
      <c r="U62" s="185"/>
      <c r="V62" s="31"/>
      <c r="W62" s="175"/>
    </row>
    <row r="63" spans="2:23" x14ac:dyDescent="0.25">
      <c r="D63" s="32"/>
      <c r="J63" s="89"/>
      <c r="K63" s="89"/>
      <c r="L63" s="89"/>
      <c r="M63" s="89"/>
      <c r="N63" s="89"/>
      <c r="O63" s="89"/>
      <c r="P63" s="89"/>
      <c r="Q63" s="89"/>
      <c r="R63" s="89"/>
      <c r="S63" s="89"/>
      <c r="T63" s="89"/>
      <c r="U63" s="89"/>
    </row>
    <row r="64" spans="2:23" x14ac:dyDescent="0.25">
      <c r="E64" t="s">
        <v>588</v>
      </c>
      <c r="G64" t="s">
        <v>171</v>
      </c>
      <c r="J64" s="79"/>
      <c r="K64" s="120">
        <f t="array" ref="K64:S64">TRANSPOSE('System peak demand'!H269:H277)</f>
        <v>2767.0013761619662</v>
      </c>
      <c r="L64" s="120">
        <v>0</v>
      </c>
      <c r="M64" s="120">
        <v>0</v>
      </c>
      <c r="N64" s="120">
        <v>2865.0040283979379</v>
      </c>
      <c r="O64" s="120">
        <v>3255.1178687895863</v>
      </c>
      <c r="P64" s="120">
        <v>0</v>
      </c>
      <c r="Q64" s="120">
        <v>3285.3534591398243</v>
      </c>
      <c r="R64" s="120">
        <v>2834.2875072245301</v>
      </c>
      <c r="S64" s="120">
        <v>2186.9136105569082</v>
      </c>
      <c r="T64" s="79"/>
      <c r="U64" s="79"/>
    </row>
    <row r="65" spans="3:24" x14ac:dyDescent="0.25">
      <c r="E65" s="28" t="s">
        <v>589</v>
      </c>
      <c r="F65" s="28"/>
      <c r="G65" s="28" t="s">
        <v>171</v>
      </c>
      <c r="H65" s="102"/>
      <c r="J65" s="98">
        <f>K64</f>
        <v>2767.0013761619662</v>
      </c>
      <c r="K65" s="79"/>
      <c r="L65" s="79"/>
      <c r="M65" s="79"/>
      <c r="N65" s="79"/>
      <c r="O65" s="79"/>
      <c r="P65" s="79"/>
      <c r="Q65" s="79"/>
      <c r="R65" s="79"/>
      <c r="S65" s="79"/>
      <c r="T65" s="79"/>
      <c r="U65" s="79"/>
      <c r="W65" s="63"/>
      <c r="X65" s="63"/>
    </row>
    <row r="66" spans="3:24" x14ac:dyDescent="0.25">
      <c r="J66" s="89"/>
      <c r="K66" s="89"/>
      <c r="L66" s="89"/>
      <c r="M66" s="89"/>
      <c r="N66" s="89"/>
      <c r="O66" s="89"/>
      <c r="P66" s="89"/>
      <c r="Q66" s="89"/>
      <c r="R66" s="89"/>
      <c r="S66" s="89"/>
      <c r="T66" s="89"/>
      <c r="U66" s="89"/>
      <c r="X66" s="63"/>
    </row>
    <row r="67" spans="3:24" x14ac:dyDescent="0.25">
      <c r="E67" s="28" t="s">
        <v>588</v>
      </c>
      <c r="F67" s="28"/>
      <c r="G67" s="28" t="s">
        <v>519</v>
      </c>
      <c r="H67" s="102"/>
      <c r="J67" s="98">
        <f t="shared" ref="J67:S67" si="4">SUM(J64:J65) * thousand</f>
        <v>2767001.376161966</v>
      </c>
      <c r="K67" s="98">
        <f t="shared" si="4"/>
        <v>2767001.376161966</v>
      </c>
      <c r="L67" s="98">
        <f t="shared" si="4"/>
        <v>0</v>
      </c>
      <c r="M67" s="98">
        <f t="shared" si="4"/>
        <v>0</v>
      </c>
      <c r="N67" s="98">
        <f t="shared" si="4"/>
        <v>2865004.0283979378</v>
      </c>
      <c r="O67" s="98">
        <f t="shared" si="4"/>
        <v>3255117.8687895862</v>
      </c>
      <c r="P67" s="98">
        <f t="shared" si="4"/>
        <v>0</v>
      </c>
      <c r="Q67" s="98">
        <f t="shared" si="4"/>
        <v>3285353.4591398244</v>
      </c>
      <c r="R67" s="98">
        <f t="shared" si="4"/>
        <v>2834287.50722453</v>
      </c>
      <c r="S67" s="98">
        <f t="shared" si="4"/>
        <v>2186913.6105569084</v>
      </c>
      <c r="T67" s="79"/>
      <c r="U67" s="79"/>
      <c r="W67" s="63"/>
      <c r="X67" s="63"/>
    </row>
    <row r="68" spans="3:24" x14ac:dyDescent="0.25">
      <c r="J68" s="89"/>
      <c r="K68" s="89"/>
      <c r="L68" s="89"/>
      <c r="M68" s="89"/>
      <c r="N68" s="89"/>
      <c r="O68" s="89"/>
      <c r="P68" s="89"/>
      <c r="Q68" s="89"/>
      <c r="R68" s="89"/>
      <c r="S68" s="89"/>
      <c r="T68" s="89"/>
      <c r="U68" s="89"/>
    </row>
    <row r="69" spans="3:24" x14ac:dyDescent="0.25">
      <c r="C69" s="31" t="str">
        <f ca="1">INDEX('Version control'!$H$34:$H$57,MATCH($A$1,'Version control'!$F$34:$F$57,0),1)&amp;"-G: Notional asset values, by network level"</f>
        <v>Section 108-G: Notional asset values, by network level</v>
      </c>
      <c r="D69" s="31"/>
      <c r="E69" s="31"/>
      <c r="F69" s="31"/>
      <c r="G69" s="31"/>
      <c r="H69" s="175"/>
      <c r="I69" s="175"/>
      <c r="J69" s="185"/>
      <c r="K69" s="185"/>
      <c r="L69" s="185"/>
      <c r="M69" s="185"/>
      <c r="N69" s="185"/>
      <c r="O69" s="185"/>
      <c r="P69" s="185"/>
      <c r="Q69" s="185"/>
      <c r="R69" s="185"/>
      <c r="S69" s="185"/>
      <c r="T69" s="185"/>
      <c r="U69" s="185"/>
      <c r="V69" s="31"/>
      <c r="W69" s="175"/>
    </row>
    <row r="70" spans="3:24" x14ac:dyDescent="0.25">
      <c r="E70" s="32"/>
      <c r="J70" s="89"/>
      <c r="K70" s="89"/>
      <c r="L70" s="89"/>
      <c r="M70" s="89"/>
      <c r="N70" s="89"/>
      <c r="O70" s="89"/>
      <c r="P70" s="89"/>
      <c r="Q70" s="89"/>
      <c r="R70" s="89"/>
      <c r="S70" s="89"/>
      <c r="T70" s="89"/>
      <c r="U70" s="89"/>
      <c r="X70" s="63"/>
    </row>
    <row r="71" spans="3:24" x14ac:dyDescent="0.25">
      <c r="D71" s="29" t="s">
        <v>590</v>
      </c>
      <c r="J71" s="89"/>
      <c r="K71" s="89"/>
      <c r="L71" s="89"/>
      <c r="M71" s="89"/>
      <c r="N71" s="89"/>
      <c r="O71" s="89"/>
      <c r="P71" s="89"/>
      <c r="Q71" s="89"/>
      <c r="R71" s="89"/>
      <c r="S71" s="89"/>
      <c r="T71" s="89"/>
      <c r="U71" s="89"/>
      <c r="X71" s="63"/>
    </row>
    <row r="72" spans="3:24" x14ac:dyDescent="0.25">
      <c r="D72" s="29"/>
      <c r="J72" s="89"/>
      <c r="K72" s="89"/>
      <c r="L72" s="89"/>
      <c r="M72" s="89"/>
      <c r="N72" s="89"/>
      <c r="O72" s="89"/>
      <c r="P72" s="89"/>
      <c r="Q72" s="89"/>
      <c r="R72" s="89"/>
      <c r="S72" s="89"/>
      <c r="T72" s="89"/>
      <c r="U72" s="89"/>
      <c r="X72" s="63"/>
    </row>
    <row r="73" spans="3:24" x14ac:dyDescent="0.25">
      <c r="E73" s="28" t="s">
        <v>591</v>
      </c>
      <c r="F73" s="28"/>
      <c r="G73" s="28" t="s">
        <v>276</v>
      </c>
      <c r="J73" s="79"/>
      <c r="K73" s="79"/>
      <c r="L73" s="98">
        <f t="shared" ref="L73:S73" si="5">L67 * L55</f>
        <v>0</v>
      </c>
      <c r="M73" s="98">
        <f t="shared" si="5"/>
        <v>0</v>
      </c>
      <c r="N73" s="98">
        <f t="shared" si="5"/>
        <v>741437229.1600107</v>
      </c>
      <c r="O73" s="98">
        <f t="shared" si="5"/>
        <v>217794474.1953792</v>
      </c>
      <c r="P73" s="98">
        <f t="shared" si="5"/>
        <v>0</v>
      </c>
      <c r="Q73" s="98">
        <f t="shared" si="5"/>
        <v>957796813.40961504</v>
      </c>
      <c r="R73" s="98">
        <f t="shared" si="5"/>
        <v>211314718.68630251</v>
      </c>
      <c r="S73" s="98">
        <f t="shared" si="5"/>
        <v>288438659.83383685</v>
      </c>
      <c r="T73" s="79"/>
      <c r="U73" s="79"/>
      <c r="X73" s="63"/>
    </row>
    <row r="74" spans="3:24" x14ac:dyDescent="0.25">
      <c r="E74" s="28" t="s">
        <v>592</v>
      </c>
      <c r="F74" s="28"/>
      <c r="G74" s="28" t="s">
        <v>276</v>
      </c>
      <c r="J74" s="79"/>
      <c r="K74" s="79"/>
      <c r="L74" s="79"/>
      <c r="M74" s="79"/>
      <c r="N74" s="79"/>
      <c r="O74" s="79"/>
      <c r="P74" s="79"/>
      <c r="Q74" s="79"/>
      <c r="R74" s="79"/>
      <c r="S74" s="79"/>
      <c r="T74" s="120">
        <f>'Service model assets'!H33</f>
        <v>838729811.88228226</v>
      </c>
      <c r="U74" s="120">
        <f>'Service model assets'!H34</f>
        <v>18640337.117758732</v>
      </c>
      <c r="X74" s="63"/>
    </row>
    <row r="75" spans="3:24" x14ac:dyDescent="0.25">
      <c r="J75" s="89"/>
      <c r="K75" s="89"/>
      <c r="L75" s="89"/>
      <c r="M75" s="89"/>
      <c r="N75" s="89"/>
      <c r="O75" s="89"/>
      <c r="P75" s="89"/>
      <c r="Q75" s="89"/>
      <c r="R75" s="89"/>
      <c r="S75" s="89"/>
      <c r="T75" s="89"/>
      <c r="U75" s="89"/>
      <c r="X75" s="63"/>
    </row>
    <row r="76" spans="3:24" x14ac:dyDescent="0.25">
      <c r="E76" s="28" t="s">
        <v>593</v>
      </c>
      <c r="F76" s="28"/>
      <c r="G76" s="28" t="s">
        <v>276</v>
      </c>
      <c r="I76" t="s">
        <v>153</v>
      </c>
      <c r="J76" s="79"/>
      <c r="K76" s="98">
        <f t="shared" ref="K76:U76" si="6">K73 + K74</f>
        <v>0</v>
      </c>
      <c r="L76" s="98">
        <f t="shared" si="6"/>
        <v>0</v>
      </c>
      <c r="M76" s="98">
        <f t="shared" si="6"/>
        <v>0</v>
      </c>
      <c r="N76" s="98">
        <f t="shared" si="6"/>
        <v>741437229.1600107</v>
      </c>
      <c r="O76" s="98">
        <f t="shared" si="6"/>
        <v>217794474.1953792</v>
      </c>
      <c r="P76" s="98">
        <f t="shared" si="6"/>
        <v>0</v>
      </c>
      <c r="Q76" s="98">
        <f t="shared" si="6"/>
        <v>957796813.40961504</v>
      </c>
      <c r="R76" s="98">
        <f t="shared" si="6"/>
        <v>211314718.68630251</v>
      </c>
      <c r="S76" s="98">
        <f t="shared" si="6"/>
        <v>288438659.83383685</v>
      </c>
      <c r="T76" s="98">
        <f t="shared" si="6"/>
        <v>838729811.88228226</v>
      </c>
      <c r="U76" s="98">
        <f t="shared" si="6"/>
        <v>18640337.117758732</v>
      </c>
      <c r="W76" s="3" t="s">
        <v>594</v>
      </c>
      <c r="X76" s="63"/>
    </row>
    <row r="77" spans="3:24" x14ac:dyDescent="0.25">
      <c r="L77" s="63"/>
      <c r="M77" s="63"/>
      <c r="N77" s="63"/>
      <c r="O77" s="63"/>
      <c r="P77" s="63"/>
      <c r="Q77" s="63"/>
      <c r="R77" s="63"/>
      <c r="S77" s="63"/>
      <c r="T77" s="63"/>
      <c r="U77" s="63"/>
      <c r="X77" s="63"/>
    </row>
    <row r="78" spans="3:24" x14ac:dyDescent="0.25">
      <c r="E78" s="28" t="s">
        <v>595</v>
      </c>
      <c r="F78" s="28"/>
      <c r="G78" s="28" t="s">
        <v>166</v>
      </c>
      <c r="J78" s="180"/>
      <c r="K78" s="145">
        <f t="shared" ref="K78:U78" si="7">K76 / SUM($K$76:$U$76)</f>
        <v>0</v>
      </c>
      <c r="L78" s="145">
        <f t="shared" si="7"/>
        <v>0</v>
      </c>
      <c r="M78" s="145">
        <f t="shared" si="7"/>
        <v>0</v>
      </c>
      <c r="N78" s="145">
        <f t="shared" si="7"/>
        <v>0.22645167943686062</v>
      </c>
      <c r="O78" s="145">
        <f t="shared" si="7"/>
        <v>6.6519352568102319E-2</v>
      </c>
      <c r="P78" s="145">
        <f t="shared" si="7"/>
        <v>0</v>
      </c>
      <c r="Q78" s="145">
        <f t="shared" si="7"/>
        <v>0.29253278420022849</v>
      </c>
      <c r="R78" s="145">
        <f t="shared" si="7"/>
        <v>6.4540288852846128E-2</v>
      </c>
      <c r="S78" s="145">
        <f t="shared" si="7"/>
        <v>8.809568276992126E-2</v>
      </c>
      <c r="T78" s="145">
        <f t="shared" si="7"/>
        <v>0.25616703211637021</v>
      </c>
      <c r="U78" s="145">
        <f t="shared" si="7"/>
        <v>5.6931800556709643E-3</v>
      </c>
      <c r="X78" s="63"/>
    </row>
    <row r="79" spans="3:24" x14ac:dyDescent="0.25">
      <c r="E79" s="32"/>
      <c r="L79" s="63"/>
      <c r="M79" s="63"/>
      <c r="N79" s="63"/>
      <c r="O79" s="63"/>
      <c r="P79" s="63"/>
      <c r="Q79" s="63"/>
      <c r="R79" s="63"/>
      <c r="S79" s="63"/>
      <c r="T79" s="63"/>
      <c r="U79" s="63"/>
    </row>
    <row r="80" spans="3:24" x14ac:dyDescent="0.25">
      <c r="C80" s="31" t="str">
        <f ca="1">INDEX('Version control'!$H$34:$H$57,MATCH($A$1,'Version control'!$F$34:$F$57,0),1)&amp;"-H: Other operating costs"</f>
        <v>Section 108-H: Other operating costs</v>
      </c>
      <c r="D80" s="31"/>
      <c r="E80" s="31"/>
      <c r="F80" s="31"/>
      <c r="G80" s="31"/>
      <c r="H80" s="175"/>
      <c r="I80" s="175"/>
      <c r="J80" s="175"/>
      <c r="K80" s="175"/>
      <c r="L80" s="175"/>
      <c r="M80" s="175"/>
      <c r="N80" s="175"/>
      <c r="O80" s="175"/>
      <c r="P80" s="175"/>
      <c r="Q80" s="175"/>
      <c r="R80" s="175"/>
      <c r="S80" s="175"/>
      <c r="T80" s="175"/>
      <c r="U80" s="175"/>
      <c r="V80" s="31"/>
      <c r="W80" s="175"/>
    </row>
    <row r="81" spans="3:23" x14ac:dyDescent="0.25">
      <c r="E81" s="32"/>
      <c r="L81" s="63"/>
      <c r="M81" s="63"/>
      <c r="N81" s="63"/>
      <c r="O81" s="63"/>
      <c r="P81" s="63"/>
      <c r="Q81" s="63"/>
      <c r="R81" s="63"/>
      <c r="S81" s="63"/>
      <c r="T81" s="63"/>
      <c r="U81" s="63"/>
    </row>
    <row r="82" spans="3:23" x14ac:dyDescent="0.25">
      <c r="D82" s="29" t="s">
        <v>596</v>
      </c>
      <c r="L82" s="63"/>
      <c r="M82" s="63"/>
      <c r="N82" s="63"/>
      <c r="O82" s="63"/>
      <c r="P82" s="63"/>
      <c r="Q82" s="63"/>
      <c r="R82" s="63"/>
      <c r="S82" s="63"/>
      <c r="T82" s="63"/>
      <c r="U82" s="63"/>
    </row>
    <row r="83" spans="3:23" x14ac:dyDescent="0.25">
      <c r="D83" s="29"/>
      <c r="L83" s="63"/>
      <c r="M83" s="63"/>
      <c r="N83" s="63"/>
      <c r="O83" s="63"/>
      <c r="P83" s="63"/>
      <c r="Q83" s="63"/>
      <c r="R83" s="63"/>
      <c r="S83" s="63"/>
      <c r="T83" s="63"/>
      <c r="U83" s="63"/>
    </row>
    <row r="84" spans="3:23" x14ac:dyDescent="0.25">
      <c r="E84" s="28" t="s">
        <v>168</v>
      </c>
      <c r="F84" s="28"/>
      <c r="G84" s="28" t="s">
        <v>166</v>
      </c>
      <c r="H84" s="25">
        <f>'Fixed inputs'!H39</f>
        <v>0.6</v>
      </c>
      <c r="L84" s="63"/>
      <c r="M84" s="63"/>
      <c r="N84" s="63"/>
      <c r="O84" s="63"/>
      <c r="P84" s="63"/>
      <c r="Q84" s="63"/>
      <c r="R84" s="63"/>
      <c r="S84" s="63"/>
      <c r="T84" s="63"/>
      <c r="U84" s="63"/>
    </row>
    <row r="85" spans="3:23" x14ac:dyDescent="0.25">
      <c r="F85" s="28"/>
      <c r="G85" s="28"/>
      <c r="H85" s="25"/>
      <c r="L85" s="63"/>
      <c r="M85" s="63"/>
      <c r="N85" s="63"/>
      <c r="O85" s="63"/>
      <c r="P85" s="63"/>
      <c r="Q85" s="63"/>
      <c r="R85" s="63"/>
      <c r="S85" s="63"/>
      <c r="T85" s="63"/>
      <c r="U85" s="63"/>
    </row>
    <row r="86" spans="3:23" x14ac:dyDescent="0.25">
      <c r="E86" s="28" t="s">
        <v>359</v>
      </c>
      <c r="F86" s="28"/>
      <c r="G86" s="28" t="s">
        <v>356</v>
      </c>
      <c r="H86" s="120">
        <f>'General inputs'!H102</f>
        <v>28803040.425109994</v>
      </c>
      <c r="L86" s="63"/>
      <c r="M86" s="63"/>
      <c r="N86" s="63"/>
      <c r="O86" s="63"/>
      <c r="P86" s="63"/>
      <c r="Q86" s="63"/>
      <c r="R86" s="63"/>
      <c r="S86" s="63"/>
      <c r="T86" s="63"/>
      <c r="U86" s="63"/>
    </row>
    <row r="87" spans="3:23" x14ac:dyDescent="0.25">
      <c r="E87" s="28" t="s">
        <v>360</v>
      </c>
      <c r="F87" s="28"/>
      <c r="G87" s="28" t="s">
        <v>356</v>
      </c>
      <c r="H87" s="120">
        <f>'General inputs'!H103</f>
        <v>83130091.179891989</v>
      </c>
      <c r="L87" s="63"/>
      <c r="M87" s="63"/>
      <c r="N87" s="63"/>
      <c r="O87" s="63"/>
      <c r="P87" s="63"/>
      <c r="Q87" s="63"/>
      <c r="R87" s="63"/>
      <c r="S87" s="63"/>
      <c r="T87" s="63"/>
      <c r="U87" s="63"/>
    </row>
    <row r="88" spans="3:23" x14ac:dyDescent="0.25">
      <c r="E88" s="28" t="s">
        <v>361</v>
      </c>
      <c r="F88" s="28"/>
      <c r="G88" s="28" t="s">
        <v>356</v>
      </c>
      <c r="H88" s="120">
        <f>'General inputs'!H104</f>
        <v>37991024.773131475</v>
      </c>
      <c r="J88" s="63"/>
      <c r="L88" s="63"/>
      <c r="M88" s="63"/>
      <c r="N88" s="63"/>
      <c r="O88" s="63"/>
      <c r="P88" s="63"/>
      <c r="Q88" s="63"/>
      <c r="R88" s="63"/>
      <c r="S88" s="63"/>
      <c r="T88" s="63"/>
      <c r="U88" s="63"/>
    </row>
    <row r="89" spans="3:23" x14ac:dyDescent="0.25">
      <c r="E89" s="28"/>
      <c r="F89" s="28"/>
      <c r="G89" s="28"/>
      <c r="H89" s="120"/>
      <c r="J89" s="63"/>
      <c r="L89" s="63"/>
      <c r="M89" s="63"/>
      <c r="N89" s="63"/>
      <c r="O89" s="63"/>
      <c r="P89" s="63"/>
      <c r="Q89" s="63"/>
      <c r="R89" s="63"/>
      <c r="S89" s="63"/>
      <c r="T89" s="63"/>
      <c r="U89" s="63"/>
    </row>
    <row r="90" spans="3:23" x14ac:dyDescent="0.25">
      <c r="E90" s="28" t="s">
        <v>597</v>
      </c>
      <c r="F90" s="28"/>
      <c r="G90" s="28" t="s">
        <v>356</v>
      </c>
      <c r="H90" s="98">
        <f>H86 + H87 * H84 + H88</f>
        <v>116672119.90617666</v>
      </c>
      <c r="L90" s="63"/>
      <c r="M90" s="63"/>
      <c r="N90" s="63"/>
      <c r="O90" s="63"/>
      <c r="P90" s="63"/>
      <c r="Q90" s="63"/>
      <c r="R90" s="63"/>
      <c r="S90" s="63"/>
      <c r="T90" s="63"/>
      <c r="U90" s="63"/>
    </row>
    <row r="91" spans="3:23" x14ac:dyDescent="0.25">
      <c r="E91" s="32"/>
      <c r="L91" s="63"/>
      <c r="M91" s="63"/>
      <c r="N91" s="63"/>
      <c r="O91" s="63"/>
      <c r="P91" s="63"/>
      <c r="Q91" s="63"/>
      <c r="R91" s="63"/>
      <c r="S91" s="63"/>
      <c r="T91" s="63"/>
      <c r="U91" s="63"/>
    </row>
    <row r="92" spans="3:23" x14ac:dyDescent="0.25">
      <c r="C92" s="31" t="str">
        <f ca="1">INDEX('Version control'!$H$34:$H$57,MATCH($A$1,'Version control'!$F$34:$F$57,0),1)&amp;"-I: Other operating costs by network level"</f>
        <v>Section 108-I: Other operating costs by network level</v>
      </c>
      <c r="D92" s="31"/>
      <c r="E92" s="31"/>
      <c r="F92" s="31"/>
      <c r="G92" s="31"/>
      <c r="H92" s="175"/>
      <c r="I92" s="175"/>
      <c r="J92" s="175"/>
      <c r="K92" s="175"/>
      <c r="L92" s="175"/>
      <c r="M92" s="175"/>
      <c r="N92" s="175"/>
      <c r="O92" s="175"/>
      <c r="P92" s="175"/>
      <c r="Q92" s="175"/>
      <c r="R92" s="175"/>
      <c r="S92" s="175"/>
      <c r="T92" s="175"/>
      <c r="U92" s="175"/>
      <c r="V92" s="31"/>
      <c r="W92" s="175"/>
    </row>
    <row r="93" spans="3:23" x14ac:dyDescent="0.25">
      <c r="E93" s="32"/>
      <c r="H93" s="63"/>
      <c r="L93" s="63"/>
      <c r="M93" s="63"/>
      <c r="N93" s="63"/>
      <c r="O93" s="63"/>
      <c r="P93" s="63"/>
      <c r="Q93" s="63"/>
      <c r="R93" s="63"/>
      <c r="S93" s="63"/>
      <c r="T93" s="63"/>
      <c r="U93" s="63"/>
    </row>
    <row r="94" spans="3:23" x14ac:dyDescent="0.25">
      <c r="D94" s="29" t="s">
        <v>598</v>
      </c>
      <c r="H94" s="63"/>
      <c r="L94" s="63"/>
      <c r="M94" s="63"/>
      <c r="N94" s="63"/>
      <c r="O94" s="63"/>
      <c r="P94" s="63"/>
      <c r="Q94" s="63"/>
      <c r="R94" s="63"/>
      <c r="S94" s="63"/>
      <c r="T94" s="63"/>
      <c r="U94" s="63"/>
    </row>
    <row r="95" spans="3:23" x14ac:dyDescent="0.25">
      <c r="D95" s="29" t="s">
        <v>599</v>
      </c>
      <c r="H95" s="63"/>
      <c r="L95" s="63"/>
      <c r="M95" s="63"/>
      <c r="N95" s="63"/>
      <c r="O95" s="63"/>
      <c r="P95" s="63"/>
      <c r="Q95" s="63"/>
      <c r="R95" s="63"/>
      <c r="S95" s="63"/>
      <c r="T95" s="63"/>
      <c r="U95" s="63"/>
    </row>
    <row r="96" spans="3:23" x14ac:dyDescent="0.25">
      <c r="D96" s="29"/>
      <c r="H96" s="63"/>
      <c r="L96" s="63"/>
      <c r="M96" s="63"/>
      <c r="N96" s="63"/>
      <c r="O96" s="63"/>
      <c r="P96" s="63"/>
      <c r="Q96" s="63"/>
      <c r="R96" s="63"/>
      <c r="S96" s="63"/>
      <c r="T96" s="63"/>
      <c r="U96" s="63"/>
    </row>
    <row r="97" spans="2:23" x14ac:dyDescent="0.25">
      <c r="E97" s="28" t="s">
        <v>600</v>
      </c>
      <c r="F97" s="28"/>
      <c r="G97" s="28" t="s">
        <v>356</v>
      </c>
      <c r="I97" t="s">
        <v>153</v>
      </c>
      <c r="J97" s="79"/>
      <c r="K97" s="98">
        <f t="shared" ref="K97:U97" si="8">K78 * $H$90</f>
        <v>0</v>
      </c>
      <c r="L97" s="98">
        <f t="shared" si="8"/>
        <v>0</v>
      </c>
      <c r="M97" s="98">
        <f t="shared" si="8"/>
        <v>0</v>
      </c>
      <c r="N97" s="98">
        <f t="shared" si="8"/>
        <v>26420597.496212482</v>
      </c>
      <c r="O97" s="98">
        <f t="shared" si="8"/>
        <v>7760953.878906874</v>
      </c>
      <c r="P97" s="98">
        <f t="shared" si="8"/>
        <v>0</v>
      </c>
      <c r="Q97" s="98">
        <f t="shared" si="8"/>
        <v>34130420.074696757</v>
      </c>
      <c r="R97" s="98">
        <f t="shared" si="8"/>
        <v>7530052.3198185405</v>
      </c>
      <c r="S97" s="98">
        <f t="shared" si="8"/>
        <v>10278310.063348753</v>
      </c>
      <c r="T97" s="98">
        <f t="shared" si="8"/>
        <v>29887550.68709055</v>
      </c>
      <c r="U97" s="98">
        <f t="shared" si="8"/>
        <v>664235.38610269618</v>
      </c>
      <c r="W97" s="3" t="s">
        <v>601</v>
      </c>
    </row>
    <row r="98" spans="2:23" x14ac:dyDescent="0.25">
      <c r="E98" s="28" t="s">
        <v>355</v>
      </c>
      <c r="F98" s="28"/>
      <c r="G98" s="28" t="s">
        <v>356</v>
      </c>
      <c r="H98" s="63"/>
      <c r="I98" s="63"/>
      <c r="J98" s="120">
        <f>'General inputs'!$H$97</f>
        <v>35908234.05777806</v>
      </c>
      <c r="K98" s="79"/>
      <c r="L98" s="79"/>
      <c r="M98" s="79"/>
      <c r="N98" s="79"/>
      <c r="O98" s="79"/>
      <c r="P98" s="79"/>
      <c r="Q98" s="79"/>
      <c r="R98" s="79"/>
      <c r="S98" s="79"/>
      <c r="T98" s="79"/>
      <c r="U98" s="79"/>
    </row>
    <row r="99" spans="2:23" x14ac:dyDescent="0.25">
      <c r="J99" s="89"/>
      <c r="K99" s="89"/>
      <c r="L99" s="89"/>
      <c r="M99" s="89"/>
      <c r="N99" s="89"/>
      <c r="O99" s="89"/>
      <c r="P99" s="89"/>
      <c r="Q99" s="89"/>
      <c r="R99" s="89"/>
      <c r="S99" s="89"/>
      <c r="T99" s="89"/>
      <c r="U99" s="89"/>
    </row>
    <row r="100" spans="2:23" x14ac:dyDescent="0.25">
      <c r="E100" s="28" t="s">
        <v>602</v>
      </c>
      <c r="F100" s="28"/>
      <c r="G100" s="28" t="s">
        <v>603</v>
      </c>
      <c r="I100" t="s">
        <v>153</v>
      </c>
      <c r="J100" s="98">
        <f t="shared" ref="J100:S100" si="9">IF(J$67 = 0, 0, SUM(J97:J98) / J$67)</f>
        <v>12.977309793602421</v>
      </c>
      <c r="K100" s="98">
        <f t="shared" si="9"/>
        <v>0</v>
      </c>
      <c r="L100" s="98">
        <f t="shared" si="9"/>
        <v>0</v>
      </c>
      <c r="M100" s="98">
        <f t="shared" si="9"/>
        <v>0</v>
      </c>
      <c r="N100" s="98">
        <f t="shared" si="9"/>
        <v>9.2218360722467949</v>
      </c>
      <c r="O100" s="98">
        <f t="shared" si="9"/>
        <v>2.3842312910754226</v>
      </c>
      <c r="P100" s="98">
        <f t="shared" si="9"/>
        <v>0</v>
      </c>
      <c r="Q100" s="98">
        <f t="shared" si="9"/>
        <v>10.388660002395246</v>
      </c>
      <c r="R100" s="98">
        <f t="shared" si="9"/>
        <v>2.6567708112266732</v>
      </c>
      <c r="S100" s="98">
        <f t="shared" si="9"/>
        <v>4.6999159060203253</v>
      </c>
      <c r="T100" s="79"/>
      <c r="U100" s="79"/>
      <c r="W100" s="3" t="s">
        <v>604</v>
      </c>
    </row>
    <row r="101" spans="2:23" x14ac:dyDescent="0.25">
      <c r="J101" s="89"/>
      <c r="K101" s="89"/>
      <c r="L101" s="89"/>
      <c r="M101" s="89"/>
      <c r="N101" s="89"/>
      <c r="O101" s="89"/>
      <c r="P101" s="89"/>
      <c r="Q101" s="89"/>
      <c r="R101" s="89"/>
      <c r="S101" s="89"/>
      <c r="T101" s="89"/>
      <c r="U101" s="89"/>
    </row>
    <row r="102" spans="2:23" x14ac:dyDescent="0.25">
      <c r="B102" s="30" t="s">
        <v>605</v>
      </c>
      <c r="C102" s="30"/>
      <c r="D102" s="30"/>
      <c r="E102" s="30"/>
      <c r="F102" s="30"/>
      <c r="G102" s="30"/>
      <c r="H102" s="30"/>
      <c r="I102" s="30"/>
      <c r="J102" s="184"/>
      <c r="K102" s="184"/>
      <c r="L102" s="184"/>
      <c r="M102" s="184"/>
      <c r="N102" s="184"/>
      <c r="O102" s="184"/>
      <c r="P102" s="184"/>
      <c r="Q102" s="184"/>
      <c r="R102" s="184"/>
      <c r="S102" s="184"/>
      <c r="T102" s="184"/>
      <c r="U102" s="184"/>
      <c r="V102" s="30"/>
      <c r="W102" s="30"/>
    </row>
    <row r="103" spans="2:23" x14ac:dyDescent="0.25">
      <c r="B103" s="29"/>
      <c r="J103" s="89"/>
      <c r="K103" s="89"/>
      <c r="L103" s="89"/>
      <c r="M103" s="89"/>
      <c r="N103" s="89"/>
      <c r="O103" s="89"/>
      <c r="P103" s="89"/>
      <c r="Q103" s="89"/>
      <c r="R103" s="89"/>
      <c r="S103" s="89"/>
      <c r="T103" s="89"/>
      <c r="U103" s="89"/>
    </row>
    <row r="104" spans="2:23" x14ac:dyDescent="0.25">
      <c r="C104" s="31" t="str">
        <f ca="1">INDEX('Version control'!$H$34:$H$57,MATCH($A$1,'Version control'!$F$34:$F$57,0),1)&amp;"-J: Notional asset values by network level"</f>
        <v>Section 108-J: Notional asset values by network level</v>
      </c>
      <c r="D104" s="31"/>
      <c r="E104" s="31"/>
      <c r="F104" s="31"/>
      <c r="G104" s="31"/>
      <c r="H104" s="175"/>
      <c r="I104" s="175"/>
      <c r="J104" s="185"/>
      <c r="K104" s="185"/>
      <c r="L104" s="185"/>
      <c r="M104" s="185"/>
      <c r="N104" s="185"/>
      <c r="O104" s="185"/>
      <c r="P104" s="185"/>
      <c r="Q104" s="185"/>
      <c r="R104" s="185"/>
      <c r="S104" s="185"/>
      <c r="T104" s="185"/>
      <c r="U104" s="185"/>
      <c r="V104" s="31"/>
      <c r="W104" s="175"/>
    </row>
    <row r="105" spans="2:23" x14ac:dyDescent="0.25">
      <c r="B105" s="29"/>
      <c r="J105" s="89"/>
      <c r="K105" s="89"/>
      <c r="L105" s="89"/>
      <c r="M105" s="89"/>
      <c r="N105" s="89"/>
      <c r="O105" s="89"/>
      <c r="P105" s="89"/>
      <c r="Q105" s="89"/>
      <c r="R105" s="89"/>
      <c r="S105" s="89"/>
      <c r="T105" s="89"/>
      <c r="U105" s="89"/>
    </row>
    <row r="106" spans="2:23" x14ac:dyDescent="0.25">
      <c r="B106" s="29"/>
      <c r="D106" s="29" t="s">
        <v>606</v>
      </c>
      <c r="J106" s="89"/>
      <c r="K106" s="89"/>
      <c r="L106" s="89"/>
      <c r="M106" s="89"/>
      <c r="N106" s="89"/>
      <c r="O106" s="89"/>
      <c r="P106" s="89"/>
      <c r="Q106" s="89"/>
      <c r="R106" s="89"/>
      <c r="S106" s="89"/>
      <c r="T106" s="89"/>
      <c r="U106" s="89"/>
    </row>
    <row r="107" spans="2:23" x14ac:dyDescent="0.25">
      <c r="B107" s="29"/>
      <c r="D107" s="29"/>
      <c r="J107" s="89"/>
      <c r="K107" s="89"/>
      <c r="L107" s="89"/>
      <c r="M107" s="89"/>
      <c r="N107" s="89"/>
      <c r="O107" s="89"/>
      <c r="P107" s="89"/>
      <c r="Q107" s="89"/>
      <c r="R107" s="89"/>
      <c r="S107" s="89"/>
      <c r="T107" s="89"/>
      <c r="U107" s="89"/>
    </row>
    <row r="108" spans="2:23" x14ac:dyDescent="0.25">
      <c r="B108" s="29"/>
      <c r="E108" s="28" t="s">
        <v>593</v>
      </c>
      <c r="F108" s="28"/>
      <c r="G108" s="28" t="s">
        <v>276</v>
      </c>
      <c r="J108" s="79"/>
      <c r="K108" s="121">
        <f t="shared" ref="K108:U108" si="10">K76</f>
        <v>0</v>
      </c>
      <c r="L108" s="121">
        <f t="shared" si="10"/>
        <v>0</v>
      </c>
      <c r="M108" s="121">
        <f t="shared" si="10"/>
        <v>0</v>
      </c>
      <c r="N108" s="121">
        <f t="shared" si="10"/>
        <v>741437229.1600107</v>
      </c>
      <c r="O108" s="121">
        <f t="shared" si="10"/>
        <v>217794474.1953792</v>
      </c>
      <c r="P108" s="121">
        <f t="shared" si="10"/>
        <v>0</v>
      </c>
      <c r="Q108" s="121">
        <f t="shared" si="10"/>
        <v>957796813.40961504</v>
      </c>
      <c r="R108" s="121">
        <f t="shared" si="10"/>
        <v>211314718.68630251</v>
      </c>
      <c r="S108" s="121">
        <f t="shared" si="10"/>
        <v>288438659.83383685</v>
      </c>
      <c r="T108" s="121">
        <f t="shared" si="10"/>
        <v>838729811.88228226</v>
      </c>
      <c r="U108" s="121">
        <f t="shared" si="10"/>
        <v>18640337.117758732</v>
      </c>
    </row>
    <row r="109" spans="2:23" x14ac:dyDescent="0.25">
      <c r="B109" s="29"/>
    </row>
    <row r="110" spans="2:23" x14ac:dyDescent="0.25">
      <c r="C110" s="31" t="str">
        <f ca="1">INDEX('Version control'!$H$34:$H$57,MATCH($A$1,'Version control'!$F$34:$F$57,0),1)&amp;"-K: Unit costs"</f>
        <v>Section 108-K: Unit costs</v>
      </c>
      <c r="D110" s="31"/>
      <c r="E110" s="31"/>
      <c r="F110" s="31"/>
      <c r="G110" s="31"/>
      <c r="H110" s="175"/>
      <c r="I110" s="175"/>
      <c r="J110" s="175"/>
      <c r="K110" s="175"/>
      <c r="L110" s="175"/>
      <c r="M110" s="175"/>
      <c r="N110" s="175"/>
      <c r="O110" s="175"/>
      <c r="P110" s="175"/>
      <c r="Q110" s="175"/>
      <c r="R110" s="175"/>
      <c r="S110" s="175"/>
      <c r="T110" s="175"/>
      <c r="U110" s="175"/>
      <c r="V110" s="31"/>
      <c r="W110" s="175"/>
    </row>
    <row r="111" spans="2:23" x14ac:dyDescent="0.25">
      <c r="B111" s="29"/>
    </row>
    <row r="112" spans="2:23" x14ac:dyDescent="0.25">
      <c r="B112" s="29"/>
      <c r="D112" s="29" t="s">
        <v>607</v>
      </c>
    </row>
    <row r="113" spans="2:24" x14ac:dyDescent="0.25">
      <c r="B113" s="29"/>
      <c r="D113" s="29"/>
    </row>
    <row r="114" spans="2:24" x14ac:dyDescent="0.25">
      <c r="E114" t="s">
        <v>583</v>
      </c>
      <c r="F114" s="177"/>
      <c r="G114" s="28" t="s">
        <v>603</v>
      </c>
      <c r="H114" s="3"/>
      <c r="I114" s="3"/>
      <c r="J114" s="79"/>
      <c r="K114" s="79"/>
      <c r="L114" s="121">
        <f t="shared" ref="L114:S114" si="11">L56</f>
        <v>0</v>
      </c>
      <c r="M114" s="121">
        <f t="shared" si="11"/>
        <v>0</v>
      </c>
      <c r="N114" s="121">
        <f t="shared" si="11"/>
        <v>12.478071335403621</v>
      </c>
      <c r="O114" s="121">
        <f t="shared" si="11"/>
        <v>3.2261046387145558</v>
      </c>
      <c r="P114" s="121">
        <f t="shared" si="11"/>
        <v>0</v>
      </c>
      <c r="Q114" s="121">
        <f t="shared" si="11"/>
        <v>14.056901421102715</v>
      </c>
      <c r="R114" s="121">
        <f t="shared" si="11"/>
        <v>3.5948780096052633</v>
      </c>
      <c r="S114" s="121">
        <f t="shared" si="11"/>
        <v>6.359458733192529</v>
      </c>
      <c r="T114" s="79"/>
      <c r="U114" s="79"/>
    </row>
    <row r="115" spans="2:24" x14ac:dyDescent="0.25">
      <c r="B115" s="29"/>
      <c r="E115" t="s">
        <v>602</v>
      </c>
      <c r="F115" s="28"/>
      <c r="G115" s="28" t="s">
        <v>603</v>
      </c>
      <c r="J115" s="121">
        <f t="shared" ref="J115:S115" si="12">J100</f>
        <v>12.977309793602421</v>
      </c>
      <c r="K115" s="121">
        <f t="shared" si="12"/>
        <v>0</v>
      </c>
      <c r="L115" s="121">
        <f t="shared" si="12"/>
        <v>0</v>
      </c>
      <c r="M115" s="121">
        <f t="shared" si="12"/>
        <v>0</v>
      </c>
      <c r="N115" s="121">
        <f t="shared" si="12"/>
        <v>9.2218360722467949</v>
      </c>
      <c r="O115" s="121">
        <f t="shared" si="12"/>
        <v>2.3842312910754226</v>
      </c>
      <c r="P115" s="121">
        <f t="shared" si="12"/>
        <v>0</v>
      </c>
      <c r="Q115" s="121">
        <f t="shared" si="12"/>
        <v>10.388660002395246</v>
      </c>
      <c r="R115" s="121">
        <f t="shared" si="12"/>
        <v>2.6567708112266732</v>
      </c>
      <c r="S115" s="121">
        <f t="shared" si="12"/>
        <v>4.6999159060203253</v>
      </c>
      <c r="T115" s="79"/>
      <c r="U115" s="79"/>
    </row>
    <row r="116" spans="2:24" x14ac:dyDescent="0.25">
      <c r="B116" s="29"/>
    </row>
    <row r="117" spans="2:24" x14ac:dyDescent="0.25">
      <c r="C117" s="31" t="str">
        <f ca="1">INDEX('Version control'!$H$34:$H$57,MATCH($A$1,'Version control'!$F$34:$F$57,0),1)&amp;"-L: Values used for allocating costs to service models"</f>
        <v>Section 108-L: Values used for allocating costs to service models</v>
      </c>
      <c r="D117" s="31"/>
      <c r="E117" s="31"/>
      <c r="F117" s="31"/>
      <c r="G117" s="31"/>
      <c r="H117" s="175"/>
      <c r="I117" s="175"/>
      <c r="J117" s="175"/>
      <c r="K117" s="175"/>
      <c r="L117" s="175"/>
      <c r="M117" s="175"/>
      <c r="N117" s="175"/>
      <c r="O117" s="175"/>
      <c r="P117" s="175"/>
      <c r="Q117" s="175"/>
      <c r="R117" s="175"/>
      <c r="S117" s="175"/>
      <c r="T117" s="175"/>
      <c r="U117" s="175"/>
      <c r="V117" s="31"/>
      <c r="W117" s="175"/>
    </row>
    <row r="118" spans="2:24" x14ac:dyDescent="0.25">
      <c r="B118" s="29"/>
    </row>
    <row r="119" spans="2:24" x14ac:dyDescent="0.25">
      <c r="B119" s="29"/>
      <c r="D119" s="29" t="s">
        <v>608</v>
      </c>
    </row>
    <row r="120" spans="2:24" x14ac:dyDescent="0.25">
      <c r="B120" s="29"/>
      <c r="D120" s="29"/>
    </row>
    <row r="121" spans="2:24" x14ac:dyDescent="0.25">
      <c r="B121" s="29"/>
      <c r="C121" s="32"/>
      <c r="E121" t="s">
        <v>567</v>
      </c>
      <c r="F121" s="28"/>
      <c r="G121" s="28" t="s">
        <v>166</v>
      </c>
      <c r="H121" s="186">
        <f>H25</f>
        <v>4.8216791977211342E-2</v>
      </c>
    </row>
    <row r="122" spans="2:24" x14ac:dyDescent="0.25">
      <c r="B122" s="29"/>
      <c r="C122" s="32"/>
      <c r="E122" t="s">
        <v>597</v>
      </c>
      <c r="F122" s="28"/>
      <c r="G122" s="28" t="s">
        <v>356</v>
      </c>
      <c r="H122" s="121">
        <f>H90</f>
        <v>116672119.90617666</v>
      </c>
    </row>
    <row r="123" spans="2:24" x14ac:dyDescent="0.25">
      <c r="E123" t="s">
        <v>593</v>
      </c>
      <c r="F123" s="28"/>
      <c r="G123" s="28" t="s">
        <v>276</v>
      </c>
      <c r="H123" s="121">
        <f>SUM(K76:U76)</f>
        <v>3274152044.2851853</v>
      </c>
      <c r="X123" s="63"/>
    </row>
    <row r="124" spans="2:24" x14ac:dyDescent="0.25">
      <c r="B124" s="29"/>
      <c r="C124" s="32"/>
    </row>
    <row r="125" spans="2:24" x14ac:dyDescent="0.25">
      <c r="B125" s="30" t="s">
        <v>230</v>
      </c>
      <c r="C125" s="30"/>
      <c r="D125" s="30"/>
      <c r="E125" s="30"/>
      <c r="F125" s="30"/>
      <c r="G125" s="30"/>
      <c r="H125" s="30"/>
      <c r="I125" s="30"/>
      <c r="J125" s="30"/>
      <c r="K125" s="30"/>
      <c r="L125" s="30"/>
      <c r="M125" s="30"/>
      <c r="N125" s="30"/>
      <c r="O125" s="30"/>
      <c r="P125" s="30"/>
      <c r="Q125" s="30"/>
      <c r="R125" s="30"/>
      <c r="S125" s="30"/>
      <c r="T125" s="30"/>
      <c r="U125" s="30"/>
      <c r="V125" s="30"/>
      <c r="W125" s="30"/>
    </row>
    <row r="127" spans="2:24" x14ac:dyDescent="0.25">
      <c r="E127" t="s">
        <v>231</v>
      </c>
      <c r="G127" s="6" t="s">
        <v>54</v>
      </c>
      <c r="H127" s="187">
        <f t="array" ref="H127">SUM(IF(ISERROR(H23:U123), 1))</f>
        <v>0</v>
      </c>
    </row>
    <row r="129" spans="2:23" x14ac:dyDescent="0.25">
      <c r="E129" t="s">
        <v>609</v>
      </c>
      <c r="G129" s="6" t="s">
        <v>54</v>
      </c>
      <c r="H129" s="187">
        <f>SUM(J129:U129)</f>
        <v>0</v>
      </c>
      <c r="J129" s="188"/>
      <c r="K129" s="188"/>
      <c r="L129" s="188"/>
      <c r="M129" s="188"/>
      <c r="N129" s="187">
        <f t="shared" ref="N129:U129" si="13">IFERROR(IF(OR(AND(N54&gt;0, N48=0), AND(N48&gt;0, N54=0)), 1, 0),1)</f>
        <v>0</v>
      </c>
      <c r="O129" s="187">
        <f t="shared" si="13"/>
        <v>0</v>
      </c>
      <c r="P129" s="187">
        <f t="shared" si="13"/>
        <v>0</v>
      </c>
      <c r="Q129" s="187">
        <f t="shared" si="13"/>
        <v>0</v>
      </c>
      <c r="R129" s="187">
        <f t="shared" si="13"/>
        <v>0</v>
      </c>
      <c r="S129" s="187">
        <f t="shared" si="13"/>
        <v>0</v>
      </c>
      <c r="T129" s="187">
        <f t="shared" si="13"/>
        <v>0</v>
      </c>
      <c r="U129" s="187">
        <f t="shared" si="13"/>
        <v>0</v>
      </c>
    </row>
    <row r="131" spans="2:23" x14ac:dyDescent="0.25">
      <c r="E131" t="s">
        <v>238</v>
      </c>
      <c r="G131" s="6" t="s">
        <v>54</v>
      </c>
      <c r="H131" s="103">
        <f>H127 + H129</f>
        <v>0</v>
      </c>
    </row>
    <row r="133" spans="2:23" x14ac:dyDescent="0.25">
      <c r="B133" s="30" t="s">
        <v>105</v>
      </c>
      <c r="C133" s="30"/>
      <c r="D133" s="30"/>
      <c r="E133" s="30"/>
      <c r="F133" s="30"/>
      <c r="G133" s="30"/>
      <c r="H133" s="30"/>
      <c r="I133" s="30"/>
      <c r="J133" s="30"/>
      <c r="K133" s="30"/>
      <c r="L133" s="30"/>
      <c r="M133" s="30"/>
      <c r="N133" s="30"/>
      <c r="O133" s="30"/>
      <c r="P133" s="30"/>
      <c r="Q133" s="30"/>
      <c r="R133" s="30"/>
      <c r="S133" s="30"/>
      <c r="T133" s="30"/>
      <c r="U133" s="30"/>
      <c r="V133" s="30"/>
      <c r="W133" s="30"/>
    </row>
  </sheetData>
  <sheetProtection sheet="1" objects="1" formatCells="0" formatColumns="0" formatRows="0" sort="0" autoFilter="0"/>
  <conditionalFormatting sqref="H127">
    <cfRule type="cellIs" dxfId="126" priority="5" operator="greaterThan">
      <formula>0</formula>
    </cfRule>
  </conditionalFormatting>
  <conditionalFormatting sqref="H129">
    <cfRule type="cellIs" dxfId="125" priority="4" operator="greaterThan">
      <formula>0</formula>
    </cfRule>
  </conditionalFormatting>
  <conditionalFormatting sqref="J129:U129">
    <cfRule type="cellIs" dxfId="124" priority="3" operator="greaterThan">
      <formula>0</formula>
    </cfRule>
  </conditionalFormatting>
  <conditionalFormatting sqref="H131:H132">
    <cfRule type="cellIs" dxfId="123" priority="2" operator="greaterThan">
      <formula>0</formula>
    </cfRule>
  </conditionalFormatting>
  <conditionalFormatting sqref="A4:XFD4">
    <cfRule type="expression" dxfId="122" priority="1">
      <formula>LEFT($A$4,1) &lt;&gt; "0"</formula>
    </cfRule>
  </conditionalFormatting>
  <hyperlinks>
    <hyperlink ref="B5:F5" location="'Model map'!A1" display="Click here to return to model map" xr:uid="{00000000-0004-0000-1000-000000000000}"/>
  </hyperlinks>
  <pageMargins left="0.7" right="0.7" top="0.75" bottom="0.75" header="0.3" footer="0.3"/>
  <pageSetup paperSize="9" fitToHeight="0" orientation="portrait" r:id="rId1"/>
  <headerFooter>
    <oddHeader>&amp;L&amp;A&amp;C&amp;R&amp;P of &amp;N</oddHeader>
    <oddFooter>&amp;F</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0">
    <tabColor theme="4" tint="0.59999389629810485"/>
    <pageSetUpPr fitToPage="1"/>
  </sheetPr>
  <dimension ref="A1:JX24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8" width="17" customWidth="1"/>
    <col min="29" max="29" width="2.42578125" customWidth="1"/>
    <col min="30" max="30" width="50.5703125" customWidth="1"/>
    <col min="31" max="31" width="2.42578125" customWidth="1"/>
    <col min="32" max="284" width="24.5703125" hidden="1" customWidth="1"/>
    <col min="285" max="16384" width="8.7109375" hidden="1"/>
  </cols>
  <sheetData>
    <row r="1" spans="1:30" s="1" customFormat="1" x14ac:dyDescent="0.25">
      <c r="A1" s="1" t="str">
        <f ca="1">MID(CELL("filename",A1),FIND("]",CELL("filename",A1))+1,255)</f>
        <v>Initial unit rates</v>
      </c>
    </row>
    <row r="2" spans="1:30" s="1" customFormat="1" x14ac:dyDescent="0.25">
      <c r="A2" s="1" t="str">
        <f>Cover!D21&amp;" - "&amp;Cover!D23</f>
        <v>SP Distribution - Two</v>
      </c>
    </row>
    <row r="3" spans="1:30" s="5" customFormat="1" x14ac:dyDescent="0.25">
      <c r="A3" s="5" t="str">
        <f>Cover!D2&amp;" - "&amp;Cover!D8&amp;" v"&amp;Cover!D10&amp;" - "&amp;Cover!D19</f>
        <v>CDCM charging model - Release for charge setting v6 - 2021/22</v>
      </c>
    </row>
    <row r="4" spans="1:30" x14ac:dyDescent="0.25">
      <c r="A4" s="12" t="str">
        <f>H241 &amp; IF(H241 = 1, " issue", " issues") &amp;" identified in checks on this sheet"</f>
        <v>0 issues identified in checks on this sheet</v>
      </c>
      <c r="B4" s="13"/>
      <c r="C4" s="13"/>
      <c r="D4" s="13"/>
      <c r="E4" s="13"/>
      <c r="F4" s="13"/>
      <c r="G4" s="13"/>
      <c r="H4" s="14"/>
      <c r="I4" s="14"/>
    </row>
    <row r="5" spans="1:30" ht="60" x14ac:dyDescent="0.25">
      <c r="B5" s="59" t="s">
        <v>141</v>
      </c>
      <c r="C5" s="60"/>
      <c r="D5" s="60"/>
      <c r="E5" s="60"/>
      <c r="F5" s="60"/>
      <c r="G5" s="61" t="s">
        <v>142</v>
      </c>
      <c r="H5" s="62" t="s">
        <v>143</v>
      </c>
      <c r="I5" s="14"/>
      <c r="J5" s="62" t="s">
        <v>893</v>
      </c>
      <c r="K5" s="62" t="s">
        <v>895</v>
      </c>
      <c r="L5" s="62" t="s">
        <v>894</v>
      </c>
      <c r="M5" s="62" t="s">
        <v>896</v>
      </c>
      <c r="N5" s="62" t="s">
        <v>902</v>
      </c>
      <c r="O5" s="62" t="s">
        <v>903</v>
      </c>
      <c r="P5" s="62" t="s">
        <v>904</v>
      </c>
      <c r="Q5" s="62" t="s">
        <v>1027</v>
      </c>
      <c r="R5" s="62" t="s">
        <v>1028</v>
      </c>
      <c r="S5" s="62" t="s">
        <v>1029</v>
      </c>
      <c r="T5" s="62" t="s">
        <v>905</v>
      </c>
      <c r="U5" s="62" t="s">
        <v>897</v>
      </c>
      <c r="V5" s="62" t="s">
        <v>898</v>
      </c>
      <c r="W5" s="62" t="s">
        <v>899</v>
      </c>
      <c r="X5" s="62" t="s">
        <v>908</v>
      </c>
      <c r="Y5" s="62" t="s">
        <v>900</v>
      </c>
      <c r="Z5" s="62" t="s">
        <v>907</v>
      </c>
      <c r="AA5" s="62" t="s">
        <v>901</v>
      </c>
      <c r="AB5" s="62" t="s">
        <v>906</v>
      </c>
      <c r="AD5" s="61" t="s">
        <v>144</v>
      </c>
    </row>
    <row r="6" spans="1:30" x14ac:dyDescent="0.25">
      <c r="H6" s="3"/>
      <c r="I6" s="3"/>
      <c r="J6" s="3"/>
      <c r="K6" s="3"/>
      <c r="L6" s="3"/>
      <c r="M6" s="3"/>
      <c r="N6" s="3"/>
      <c r="P6" s="3"/>
      <c r="Q6" s="3"/>
      <c r="R6" s="3"/>
      <c r="S6" s="3"/>
    </row>
    <row r="7" spans="1:30" x14ac:dyDescent="0.25">
      <c r="B7" s="30" t="s">
        <v>9</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row>
    <row r="9" spans="1:30" x14ac:dyDescent="0.25">
      <c r="C9" s="29" t="s">
        <v>610</v>
      </c>
      <c r="E9" s="28"/>
    </row>
    <row r="11" spans="1:30" x14ac:dyDescent="0.25">
      <c r="B11" s="30" t="s">
        <v>611</v>
      </c>
      <c r="C11" s="30"/>
      <c r="D11" s="30"/>
      <c r="E11" s="30"/>
      <c r="F11" s="30"/>
      <c r="G11" s="30"/>
      <c r="H11" s="30"/>
      <c r="I11" s="30"/>
      <c r="J11" s="30"/>
      <c r="K11" s="30"/>
      <c r="L11" s="30"/>
      <c r="M11" s="30"/>
      <c r="N11" s="30"/>
      <c r="O11" s="30"/>
      <c r="P11" s="30"/>
      <c r="Q11" s="30"/>
      <c r="R11" s="30"/>
      <c r="S11" s="30"/>
      <c r="T11" s="30"/>
      <c r="U11" s="30"/>
      <c r="V11" s="30"/>
      <c r="W11" s="30"/>
      <c r="X11" s="30"/>
      <c r="Y11" s="30"/>
      <c r="Z11" s="30"/>
      <c r="AA11" s="30"/>
      <c r="AB11" s="30"/>
      <c r="AC11" s="30"/>
      <c r="AD11" s="30"/>
    </row>
    <row r="13" spans="1:30" x14ac:dyDescent="0.25">
      <c r="C13" s="31" t="str">
        <f ca="1">INDEX('Version control'!$H$34:$H$57,MATCH($A$1,'Version control'!$F$34:$F$57,0),1)&amp;"-A: Inputs for yardstick and unit rate calculations"</f>
        <v>Section 109-A: Inputs for yardstick and unit rate calculations</v>
      </c>
      <c r="D13" s="31"/>
      <c r="E13" s="31"/>
      <c r="F13" s="31"/>
      <c r="G13" s="31"/>
      <c r="H13" s="31"/>
      <c r="I13" s="31"/>
      <c r="J13" s="189"/>
      <c r="K13" s="189"/>
      <c r="L13" s="189"/>
      <c r="M13" s="189"/>
      <c r="N13" s="189"/>
      <c r="O13" s="189"/>
      <c r="P13" s="189"/>
      <c r="Q13" s="189"/>
      <c r="R13" s="189"/>
      <c r="S13" s="189"/>
      <c r="T13" s="189"/>
      <c r="U13" s="189"/>
      <c r="V13" s="189"/>
      <c r="W13" s="189"/>
      <c r="X13" s="189"/>
      <c r="Y13" s="189"/>
      <c r="Z13" s="189"/>
      <c r="AA13" s="189"/>
      <c r="AB13" s="189"/>
      <c r="AC13" s="31"/>
      <c r="AD13" s="31"/>
    </row>
    <row r="14" spans="1:30" x14ac:dyDescent="0.25">
      <c r="C14" s="32"/>
      <c r="D14" s="32"/>
      <c r="E14" s="32"/>
      <c r="J14" s="63"/>
      <c r="L14" s="63"/>
    </row>
    <row r="15" spans="1:30" x14ac:dyDescent="0.25">
      <c r="D15" s="29" t="s">
        <v>612</v>
      </c>
    </row>
    <row r="17" spans="5:30" x14ac:dyDescent="0.25">
      <c r="E17" s="32" t="s">
        <v>613</v>
      </c>
      <c r="G17" s="28"/>
      <c r="H17" s="3"/>
      <c r="I17" s="3" t="s">
        <v>153</v>
      </c>
      <c r="AD17" t="s">
        <v>614</v>
      </c>
    </row>
    <row r="18" spans="5:30" x14ac:dyDescent="0.25">
      <c r="F18" s="190" t="s">
        <v>188</v>
      </c>
      <c r="G18" s="64" t="s">
        <v>584</v>
      </c>
      <c r="H18" s="83"/>
    </row>
    <row r="19" spans="5:30" x14ac:dyDescent="0.25">
      <c r="F19" s="191" t="s">
        <v>190</v>
      </c>
      <c r="G19" s="28" t="s">
        <v>584</v>
      </c>
      <c r="H19" s="79"/>
    </row>
    <row r="20" spans="5:30" x14ac:dyDescent="0.25">
      <c r="F20" s="191" t="s">
        <v>191</v>
      </c>
      <c r="G20" s="28" t="s">
        <v>584</v>
      </c>
      <c r="H20" s="194">
        <f t="array" ref="H20:H27">TRANSPOSE('Unit costs'!L114:S114)</f>
        <v>0</v>
      </c>
    </row>
    <row r="21" spans="5:30" x14ac:dyDescent="0.25">
      <c r="F21" s="191" t="s">
        <v>192</v>
      </c>
      <c r="G21" s="28" t="s">
        <v>584</v>
      </c>
      <c r="H21" s="194">
        <v>0</v>
      </c>
    </row>
    <row r="22" spans="5:30" x14ac:dyDescent="0.25">
      <c r="F22" s="191" t="s">
        <v>193</v>
      </c>
      <c r="G22" s="28" t="s">
        <v>584</v>
      </c>
      <c r="H22" s="194">
        <v>12.478071335403621</v>
      </c>
    </row>
    <row r="23" spans="5:30" x14ac:dyDescent="0.25">
      <c r="F23" s="191" t="s">
        <v>194</v>
      </c>
      <c r="G23" s="28" t="s">
        <v>584</v>
      </c>
      <c r="H23" s="194">
        <v>3.2261046387145558</v>
      </c>
    </row>
    <row r="24" spans="5:30" x14ac:dyDescent="0.25">
      <c r="F24" s="191" t="s">
        <v>195</v>
      </c>
      <c r="G24" s="28" t="s">
        <v>584</v>
      </c>
      <c r="H24" s="194">
        <v>0</v>
      </c>
    </row>
    <row r="25" spans="5:30" x14ac:dyDescent="0.25">
      <c r="F25" s="191" t="s">
        <v>196</v>
      </c>
      <c r="G25" s="28" t="s">
        <v>584</v>
      </c>
      <c r="H25" s="194">
        <v>14.056901421102715</v>
      </c>
    </row>
    <row r="26" spans="5:30" x14ac:dyDescent="0.25">
      <c r="F26" s="191" t="s">
        <v>197</v>
      </c>
      <c r="G26" s="28" t="s">
        <v>584</v>
      </c>
      <c r="H26" s="194">
        <v>3.5948780096052633</v>
      </c>
    </row>
    <row r="27" spans="5:30" x14ac:dyDescent="0.25">
      <c r="F27" s="192" t="s">
        <v>198</v>
      </c>
      <c r="G27" s="67" t="s">
        <v>584</v>
      </c>
      <c r="H27" s="195">
        <v>6.359458733192529</v>
      </c>
    </row>
    <row r="28" spans="5:30" x14ac:dyDescent="0.25">
      <c r="F28" s="191"/>
      <c r="G28" s="28"/>
      <c r="H28" s="120"/>
    </row>
    <row r="29" spans="5:30" x14ac:dyDescent="0.25">
      <c r="E29" s="32" t="s">
        <v>615</v>
      </c>
      <c r="G29" s="28"/>
      <c r="H29" s="89"/>
    </row>
    <row r="30" spans="5:30" x14ac:dyDescent="0.25">
      <c r="F30" s="190" t="s">
        <v>188</v>
      </c>
      <c r="G30" s="64" t="s">
        <v>603</v>
      </c>
      <c r="H30" s="193">
        <f t="array" ref="H30:H39">TRANSPOSE('Unit costs'!J115:S115)</f>
        <v>12.977309793602421</v>
      </c>
    </row>
    <row r="31" spans="5:30" x14ac:dyDescent="0.25">
      <c r="F31" s="191" t="s">
        <v>190</v>
      </c>
      <c r="G31" s="28" t="s">
        <v>603</v>
      </c>
      <c r="H31" s="194">
        <v>0</v>
      </c>
    </row>
    <row r="32" spans="5:30" x14ac:dyDescent="0.25">
      <c r="F32" s="191" t="s">
        <v>191</v>
      </c>
      <c r="G32" s="28" t="s">
        <v>603</v>
      </c>
      <c r="H32" s="194">
        <v>0</v>
      </c>
    </row>
    <row r="33" spans="5:19" x14ac:dyDescent="0.25">
      <c r="F33" s="191" t="s">
        <v>192</v>
      </c>
      <c r="G33" s="28" t="s">
        <v>603</v>
      </c>
      <c r="H33" s="194">
        <v>0</v>
      </c>
      <c r="J33" s="63"/>
      <c r="K33" s="63"/>
      <c r="L33" s="63"/>
      <c r="M33" s="63"/>
      <c r="N33" s="63"/>
    </row>
    <row r="34" spans="5:19" x14ac:dyDescent="0.25">
      <c r="F34" s="191" t="s">
        <v>193</v>
      </c>
      <c r="G34" s="28" t="s">
        <v>603</v>
      </c>
      <c r="H34" s="194">
        <v>9.2218360722467949</v>
      </c>
      <c r="J34" s="63"/>
      <c r="K34" s="63"/>
      <c r="L34" s="63"/>
      <c r="M34" s="63"/>
      <c r="N34" s="63"/>
    </row>
    <row r="35" spans="5:19" x14ac:dyDescent="0.25">
      <c r="F35" s="191" t="s">
        <v>194</v>
      </c>
      <c r="G35" s="28" t="s">
        <v>603</v>
      </c>
      <c r="H35" s="194">
        <v>2.3842312910754226</v>
      </c>
      <c r="J35" s="63"/>
      <c r="K35" s="63"/>
      <c r="L35" s="63"/>
      <c r="M35" s="63"/>
      <c r="N35" s="63"/>
    </row>
    <row r="36" spans="5:19" x14ac:dyDescent="0.25">
      <c r="F36" s="191" t="s">
        <v>195</v>
      </c>
      <c r="G36" s="28" t="s">
        <v>603</v>
      </c>
      <c r="H36" s="194">
        <v>0</v>
      </c>
      <c r="J36" s="63"/>
      <c r="K36" s="63"/>
      <c r="L36" s="63"/>
      <c r="M36" s="63"/>
      <c r="N36" s="63"/>
    </row>
    <row r="37" spans="5:19" x14ac:dyDescent="0.25">
      <c r="F37" s="191" t="s">
        <v>196</v>
      </c>
      <c r="G37" s="28" t="s">
        <v>603</v>
      </c>
      <c r="H37" s="194">
        <v>10.388660002395246</v>
      </c>
      <c r="J37" s="63"/>
      <c r="K37" s="63"/>
      <c r="L37" s="63"/>
      <c r="M37" s="63"/>
      <c r="N37" s="63"/>
      <c r="O37" s="63"/>
    </row>
    <row r="38" spans="5:19" x14ac:dyDescent="0.25">
      <c r="F38" s="191" t="s">
        <v>197</v>
      </c>
      <c r="G38" s="28" t="s">
        <v>603</v>
      </c>
      <c r="H38" s="194">
        <v>2.6567708112266732</v>
      </c>
      <c r="J38" s="63"/>
      <c r="K38" s="63"/>
      <c r="L38" s="63"/>
      <c r="M38" s="63"/>
      <c r="N38" s="63"/>
      <c r="O38" s="63"/>
    </row>
    <row r="39" spans="5:19" x14ac:dyDescent="0.25">
      <c r="F39" s="192" t="s">
        <v>198</v>
      </c>
      <c r="G39" s="67" t="s">
        <v>603</v>
      </c>
      <c r="H39" s="195">
        <v>4.6999159060203253</v>
      </c>
      <c r="J39" s="63"/>
      <c r="K39" s="63"/>
      <c r="L39" s="63"/>
      <c r="M39" s="63"/>
      <c r="N39" s="63"/>
      <c r="O39" s="63"/>
    </row>
    <row r="40" spans="5:19" x14ac:dyDescent="0.25">
      <c r="G40" s="28"/>
      <c r="H40" s="89"/>
      <c r="J40" s="63"/>
      <c r="K40" s="63"/>
      <c r="L40" s="63"/>
      <c r="M40" s="63"/>
      <c r="N40" s="63"/>
      <c r="O40" s="63"/>
    </row>
    <row r="41" spans="5:19" x14ac:dyDescent="0.25">
      <c r="E41" s="32" t="s">
        <v>616</v>
      </c>
      <c r="F41" s="32"/>
      <c r="H41" s="127"/>
      <c r="I41" s="3"/>
      <c r="J41" s="63"/>
      <c r="K41" s="63"/>
      <c r="L41" s="63"/>
      <c r="M41" s="63"/>
      <c r="N41" s="63"/>
      <c r="O41" s="63"/>
      <c r="P41" s="3"/>
      <c r="Q41" s="3"/>
      <c r="R41" s="3"/>
      <c r="S41" s="3"/>
    </row>
    <row r="42" spans="5:19" x14ac:dyDescent="0.25">
      <c r="E42" s="29" t="s">
        <v>617</v>
      </c>
      <c r="F42" s="29"/>
      <c r="H42" s="127"/>
      <c r="I42" s="3"/>
      <c r="J42" s="63"/>
      <c r="K42" s="63"/>
      <c r="L42" s="63"/>
      <c r="M42" s="63"/>
      <c r="N42" s="63"/>
      <c r="O42" s="63"/>
      <c r="P42" s="3"/>
      <c r="Q42" s="3"/>
      <c r="R42" s="3"/>
      <c r="S42" s="3"/>
    </row>
    <row r="43" spans="5:19" x14ac:dyDescent="0.25">
      <c r="F43" s="23" t="s">
        <v>188</v>
      </c>
      <c r="G43" s="23" t="s">
        <v>282</v>
      </c>
      <c r="H43" s="124">
        <f t="array" ref="H43:H52">TRANSPOSE('Load &amp; loss characteristics'!J29:S29)</f>
        <v>1</v>
      </c>
      <c r="I43" s="3"/>
      <c r="J43" s="63"/>
      <c r="K43" s="63"/>
      <c r="L43" s="63"/>
      <c r="M43" s="63"/>
      <c r="N43" s="63"/>
      <c r="O43" s="63"/>
    </row>
    <row r="44" spans="5:19" x14ac:dyDescent="0.25">
      <c r="F44" t="s">
        <v>190</v>
      </c>
      <c r="G44" t="s">
        <v>282</v>
      </c>
      <c r="H44" s="120">
        <v>1</v>
      </c>
      <c r="I44" s="3"/>
      <c r="J44" s="63"/>
      <c r="K44" s="63"/>
      <c r="L44" s="63"/>
      <c r="M44" s="63"/>
      <c r="N44" s="63"/>
      <c r="O44" s="63"/>
    </row>
    <row r="45" spans="5:19" x14ac:dyDescent="0.25">
      <c r="F45" t="s">
        <v>191</v>
      </c>
      <c r="G45" t="s">
        <v>282</v>
      </c>
      <c r="H45" s="120">
        <v>1</v>
      </c>
      <c r="I45" s="3"/>
      <c r="J45" s="63"/>
      <c r="K45" s="63"/>
      <c r="L45" s="63"/>
      <c r="M45" s="63"/>
      <c r="N45" s="63"/>
      <c r="O45" s="63"/>
    </row>
    <row r="46" spans="5:19" x14ac:dyDescent="0.25">
      <c r="F46" t="s">
        <v>192</v>
      </c>
      <c r="G46" t="s">
        <v>282</v>
      </c>
      <c r="H46" s="120">
        <v>1</v>
      </c>
      <c r="J46" s="63"/>
      <c r="K46" s="63"/>
      <c r="L46" s="63"/>
      <c r="M46" s="63"/>
      <c r="N46" s="63"/>
      <c r="O46" s="63"/>
    </row>
    <row r="47" spans="5:19" x14ac:dyDescent="0.25">
      <c r="F47" t="s">
        <v>193</v>
      </c>
      <c r="G47" t="s">
        <v>282</v>
      </c>
      <c r="H47" s="120">
        <v>1.004</v>
      </c>
      <c r="I47" s="3"/>
      <c r="J47" s="63"/>
      <c r="K47" s="63"/>
      <c r="L47" s="63"/>
      <c r="M47" s="63"/>
      <c r="N47" s="63"/>
      <c r="O47" s="63"/>
    </row>
    <row r="48" spans="5:19" x14ac:dyDescent="0.25">
      <c r="F48" t="s">
        <v>194</v>
      </c>
      <c r="G48" t="s">
        <v>282</v>
      </c>
      <c r="H48" s="120">
        <v>1.0129999999999999</v>
      </c>
      <c r="I48" s="3"/>
      <c r="J48" s="63"/>
      <c r="K48" s="63"/>
      <c r="L48" s="63"/>
      <c r="M48" s="63"/>
      <c r="N48" s="63"/>
      <c r="O48" s="63"/>
    </row>
    <row r="49" spans="4:28" x14ac:dyDescent="0.25">
      <c r="F49" t="s">
        <v>195</v>
      </c>
      <c r="G49" t="s">
        <v>282</v>
      </c>
      <c r="H49" s="120">
        <v>1.0129999999999999</v>
      </c>
      <c r="I49" s="3"/>
      <c r="J49" s="63"/>
      <c r="K49" s="63"/>
      <c r="L49" s="63"/>
      <c r="M49" s="63"/>
      <c r="N49" s="63"/>
      <c r="O49" s="63"/>
    </row>
    <row r="50" spans="4:28" x14ac:dyDescent="0.25">
      <c r="F50" t="s">
        <v>196</v>
      </c>
      <c r="G50" t="s">
        <v>282</v>
      </c>
      <c r="H50" s="120">
        <v>1.026</v>
      </c>
      <c r="J50" s="63"/>
      <c r="K50" s="63"/>
      <c r="L50" s="63"/>
      <c r="M50" s="63"/>
      <c r="N50" s="63"/>
      <c r="O50" s="63"/>
    </row>
    <row r="51" spans="4:28" x14ac:dyDescent="0.25">
      <c r="F51" t="s">
        <v>197</v>
      </c>
      <c r="G51" t="s">
        <v>282</v>
      </c>
      <c r="H51" s="120">
        <v>1.044</v>
      </c>
      <c r="I51" s="3"/>
      <c r="J51" s="63"/>
      <c r="K51" s="63"/>
      <c r="L51" s="63"/>
      <c r="M51" s="63"/>
      <c r="N51" s="63"/>
      <c r="O51" s="63"/>
    </row>
    <row r="52" spans="4:28" x14ac:dyDescent="0.25">
      <c r="F52" s="37" t="s">
        <v>198</v>
      </c>
      <c r="G52" s="37" t="s">
        <v>282</v>
      </c>
      <c r="H52" s="125">
        <v>1.0980000000000001</v>
      </c>
      <c r="I52" s="3"/>
      <c r="J52" s="63"/>
      <c r="K52" s="63"/>
      <c r="L52" s="63"/>
      <c r="M52" s="63"/>
      <c r="N52" s="63"/>
      <c r="O52" s="63"/>
    </row>
    <row r="53" spans="4:28" x14ac:dyDescent="0.25">
      <c r="G53" s="28"/>
      <c r="H53" s="3"/>
      <c r="I53" s="3"/>
      <c r="J53" s="63"/>
      <c r="K53" s="63"/>
      <c r="L53" s="63"/>
      <c r="M53" s="63"/>
      <c r="N53" s="63"/>
      <c r="O53" s="63"/>
    </row>
    <row r="54" spans="4:28" x14ac:dyDescent="0.25">
      <c r="E54" s="32" t="s">
        <v>407</v>
      </c>
      <c r="F54" s="32"/>
      <c r="J54" s="63"/>
      <c r="L54" s="63"/>
    </row>
    <row r="55" spans="4:28" x14ac:dyDescent="0.25">
      <c r="D55" s="32"/>
      <c r="E55" s="32"/>
      <c r="F55" s="190" t="s">
        <v>188</v>
      </c>
      <c r="G55" s="23" t="s">
        <v>282</v>
      </c>
      <c r="H55" s="23"/>
      <c r="I55" s="23"/>
      <c r="J55" s="193">
        <f t="array" ref="J55:AB64">TRANSPOSE('Load &amp; loss characteristics'!J160:S178)</f>
        <v>1.0980000000000001</v>
      </c>
      <c r="K55" s="193">
        <v>1.0980000000000001</v>
      </c>
      <c r="L55" s="193">
        <v>1.0980000000000001</v>
      </c>
      <c r="M55" s="193">
        <v>1.0980000000000001</v>
      </c>
      <c r="N55" s="193">
        <v>1.0980000000000001</v>
      </c>
      <c r="O55" s="193">
        <v>1.044</v>
      </c>
      <c r="P55" s="193">
        <v>1.026</v>
      </c>
      <c r="Q55" s="193">
        <v>1.0980000000000001</v>
      </c>
      <c r="R55" s="193">
        <v>1.044</v>
      </c>
      <c r="S55" s="193">
        <v>1.026</v>
      </c>
      <c r="T55" s="193">
        <v>1.0980000000000001</v>
      </c>
      <c r="U55" s="193">
        <v>-1.0980000000000001</v>
      </c>
      <c r="V55" s="193">
        <v>-1.044</v>
      </c>
      <c r="W55" s="193">
        <v>-1.0980000000000001</v>
      </c>
      <c r="X55" s="193">
        <v>-1.0980000000000001</v>
      </c>
      <c r="Y55" s="193">
        <v>-1.044</v>
      </c>
      <c r="Z55" s="193">
        <v>-1.044</v>
      </c>
      <c r="AA55" s="193">
        <v>-1.026</v>
      </c>
      <c r="AB55" s="193">
        <v>-1.026</v>
      </c>
    </row>
    <row r="56" spans="4:28" x14ac:dyDescent="0.25">
      <c r="D56" s="32"/>
      <c r="E56" s="32"/>
      <c r="F56" s="191" t="s">
        <v>190</v>
      </c>
      <c r="G56" t="s">
        <v>282</v>
      </c>
      <c r="J56" s="194">
        <v>1.0980000000000001</v>
      </c>
      <c r="K56" s="194">
        <v>1.0980000000000001</v>
      </c>
      <c r="L56" s="194">
        <v>1.0980000000000001</v>
      </c>
      <c r="M56" s="194">
        <v>1.0980000000000001</v>
      </c>
      <c r="N56" s="194">
        <v>1.0980000000000001</v>
      </c>
      <c r="O56" s="194">
        <v>1.044</v>
      </c>
      <c r="P56" s="194">
        <v>1.026</v>
      </c>
      <c r="Q56" s="194">
        <v>1.0980000000000001</v>
      </c>
      <c r="R56" s="194">
        <v>1.044</v>
      </c>
      <c r="S56" s="194">
        <v>1.026</v>
      </c>
      <c r="T56" s="194">
        <v>1.0980000000000001</v>
      </c>
      <c r="U56" s="194">
        <v>-1.0980000000000001</v>
      </c>
      <c r="V56" s="194">
        <v>-1.044</v>
      </c>
      <c r="W56" s="194">
        <v>-1.0980000000000001</v>
      </c>
      <c r="X56" s="194">
        <v>-1.0980000000000001</v>
      </c>
      <c r="Y56" s="194">
        <v>-1.044</v>
      </c>
      <c r="Z56" s="194">
        <v>-1.044</v>
      </c>
      <c r="AA56" s="194">
        <v>-1.026</v>
      </c>
      <c r="AB56" s="194">
        <v>-1.026</v>
      </c>
    </row>
    <row r="57" spans="4:28" x14ac:dyDescent="0.25">
      <c r="D57" s="32"/>
      <c r="E57" s="32"/>
      <c r="F57" s="191" t="s">
        <v>191</v>
      </c>
      <c r="G57" t="s">
        <v>282</v>
      </c>
      <c r="J57" s="194">
        <v>1.0980000000000001</v>
      </c>
      <c r="K57" s="194">
        <v>1.0980000000000001</v>
      </c>
      <c r="L57" s="194">
        <v>1.0980000000000001</v>
      </c>
      <c r="M57" s="194">
        <v>1.0980000000000001</v>
      </c>
      <c r="N57" s="194">
        <v>1.0980000000000001</v>
      </c>
      <c r="O57" s="194">
        <v>1.044</v>
      </c>
      <c r="P57" s="194">
        <v>1.026</v>
      </c>
      <c r="Q57" s="194">
        <v>1.0980000000000001</v>
      </c>
      <c r="R57" s="194">
        <v>1.044</v>
      </c>
      <c r="S57" s="194">
        <v>1.026</v>
      </c>
      <c r="T57" s="194">
        <v>1.0980000000000001</v>
      </c>
      <c r="U57" s="194">
        <v>-1.0980000000000001</v>
      </c>
      <c r="V57" s="194">
        <v>-1.044</v>
      </c>
      <c r="W57" s="194">
        <v>-1.0980000000000001</v>
      </c>
      <c r="X57" s="194">
        <v>-1.0980000000000001</v>
      </c>
      <c r="Y57" s="194">
        <v>-1.044</v>
      </c>
      <c r="Z57" s="194">
        <v>-1.044</v>
      </c>
      <c r="AA57" s="194">
        <v>-1.026</v>
      </c>
      <c r="AB57" s="194">
        <v>-1.026</v>
      </c>
    </row>
    <row r="58" spans="4:28" x14ac:dyDescent="0.25">
      <c r="D58" s="32"/>
      <c r="E58" s="32"/>
      <c r="F58" s="191" t="s">
        <v>192</v>
      </c>
      <c r="G58" t="s">
        <v>282</v>
      </c>
      <c r="J58" s="194">
        <v>1.0980000000000001</v>
      </c>
      <c r="K58" s="194">
        <v>1.0980000000000001</v>
      </c>
      <c r="L58" s="194">
        <v>1.0980000000000001</v>
      </c>
      <c r="M58" s="194">
        <v>1.0980000000000001</v>
      </c>
      <c r="N58" s="194">
        <v>1.0980000000000001</v>
      </c>
      <c r="O58" s="194">
        <v>1.044</v>
      </c>
      <c r="P58" s="194">
        <v>1.026</v>
      </c>
      <c r="Q58" s="194">
        <v>1.0980000000000001</v>
      </c>
      <c r="R58" s="194">
        <v>1.044</v>
      </c>
      <c r="S58" s="194">
        <v>1.026</v>
      </c>
      <c r="T58" s="194">
        <v>1.0980000000000001</v>
      </c>
      <c r="U58" s="194">
        <v>-1.0980000000000001</v>
      </c>
      <c r="V58" s="194">
        <v>-1.044</v>
      </c>
      <c r="W58" s="194">
        <v>-1.0980000000000001</v>
      </c>
      <c r="X58" s="194">
        <v>-1.0980000000000001</v>
      </c>
      <c r="Y58" s="194">
        <v>-1.044</v>
      </c>
      <c r="Z58" s="194">
        <v>-1.044</v>
      </c>
      <c r="AA58" s="194">
        <v>-1.026</v>
      </c>
      <c r="AB58" s="194">
        <v>-1.026</v>
      </c>
    </row>
    <row r="59" spans="4:28" x14ac:dyDescent="0.25">
      <c r="D59" s="32"/>
      <c r="E59" s="32"/>
      <c r="F59" s="191" t="s">
        <v>193</v>
      </c>
      <c r="G59" t="s">
        <v>282</v>
      </c>
      <c r="J59" s="194">
        <v>1.0980000000000001</v>
      </c>
      <c r="K59" s="194">
        <v>1.0980000000000001</v>
      </c>
      <c r="L59" s="194">
        <v>1.0980000000000001</v>
      </c>
      <c r="M59" s="194">
        <v>1.0980000000000001</v>
      </c>
      <c r="N59" s="194">
        <v>1.0980000000000001</v>
      </c>
      <c r="O59" s="194">
        <v>1.044</v>
      </c>
      <c r="P59" s="194">
        <v>1.026</v>
      </c>
      <c r="Q59" s="194">
        <v>1.0980000000000001</v>
      </c>
      <c r="R59" s="194">
        <v>1.044</v>
      </c>
      <c r="S59" s="194">
        <v>1.026</v>
      </c>
      <c r="T59" s="194">
        <v>1.0980000000000001</v>
      </c>
      <c r="U59" s="194">
        <v>-1.0980000000000001</v>
      </c>
      <c r="V59" s="194">
        <v>-1.044</v>
      </c>
      <c r="W59" s="194">
        <v>-1.0980000000000001</v>
      </c>
      <c r="X59" s="194">
        <v>-1.0980000000000001</v>
      </c>
      <c r="Y59" s="194">
        <v>-1.044</v>
      </c>
      <c r="Z59" s="194">
        <v>-1.044</v>
      </c>
      <c r="AA59" s="194">
        <v>-1.026</v>
      </c>
      <c r="AB59" s="194">
        <v>-1.026</v>
      </c>
    </row>
    <row r="60" spans="4:28" x14ac:dyDescent="0.25">
      <c r="D60" s="32"/>
      <c r="E60" s="32"/>
      <c r="F60" s="191" t="s">
        <v>194</v>
      </c>
      <c r="G60" t="s">
        <v>282</v>
      </c>
      <c r="J60" s="194">
        <v>1.0980000000000001</v>
      </c>
      <c r="K60" s="194">
        <v>1.0980000000000001</v>
      </c>
      <c r="L60" s="194">
        <v>1.0980000000000001</v>
      </c>
      <c r="M60" s="194">
        <v>1.0980000000000001</v>
      </c>
      <c r="N60" s="194">
        <v>1.0980000000000001</v>
      </c>
      <c r="O60" s="194">
        <v>1.044</v>
      </c>
      <c r="P60" s="194">
        <v>1.026</v>
      </c>
      <c r="Q60" s="194">
        <v>1.0980000000000001</v>
      </c>
      <c r="R60" s="194">
        <v>1.044</v>
      </c>
      <c r="S60" s="194">
        <v>1.026</v>
      </c>
      <c r="T60" s="194">
        <v>1.0980000000000001</v>
      </c>
      <c r="U60" s="194">
        <v>-1.0980000000000001</v>
      </c>
      <c r="V60" s="194">
        <v>-1.044</v>
      </c>
      <c r="W60" s="194">
        <v>-1.0980000000000001</v>
      </c>
      <c r="X60" s="194">
        <v>-1.0980000000000001</v>
      </c>
      <c r="Y60" s="194">
        <v>-1.044</v>
      </c>
      <c r="Z60" s="194">
        <v>-1.044</v>
      </c>
      <c r="AA60" s="194">
        <v>-1.026</v>
      </c>
      <c r="AB60" s="194">
        <v>-1.026</v>
      </c>
    </row>
    <row r="61" spans="4:28" x14ac:dyDescent="0.25">
      <c r="D61" s="32"/>
      <c r="E61" s="32"/>
      <c r="F61" s="191" t="s">
        <v>195</v>
      </c>
      <c r="G61" t="s">
        <v>282</v>
      </c>
      <c r="J61" s="194">
        <v>0</v>
      </c>
      <c r="K61" s="194">
        <v>0</v>
      </c>
      <c r="L61" s="194">
        <v>0</v>
      </c>
      <c r="M61" s="194">
        <v>0</v>
      </c>
      <c r="N61" s="194">
        <v>0</v>
      </c>
      <c r="O61" s="194">
        <v>0</v>
      </c>
      <c r="P61" s="194">
        <v>0</v>
      </c>
      <c r="Q61" s="194">
        <v>0</v>
      </c>
      <c r="R61" s="194">
        <v>0</v>
      </c>
      <c r="S61" s="194">
        <v>0</v>
      </c>
      <c r="T61" s="194">
        <v>0</v>
      </c>
      <c r="U61" s="194">
        <v>0</v>
      </c>
      <c r="V61" s="194">
        <v>0</v>
      </c>
      <c r="W61" s="194">
        <v>0</v>
      </c>
      <c r="X61" s="194">
        <v>0</v>
      </c>
      <c r="Y61" s="194">
        <v>0</v>
      </c>
      <c r="Z61" s="194">
        <v>0</v>
      </c>
      <c r="AA61" s="194">
        <v>0</v>
      </c>
      <c r="AB61" s="194">
        <v>0</v>
      </c>
    </row>
    <row r="62" spans="4:28" x14ac:dyDescent="0.25">
      <c r="D62" s="32"/>
      <c r="E62" s="32"/>
      <c r="F62" s="191" t="s">
        <v>196</v>
      </c>
      <c r="G62" t="s">
        <v>282</v>
      </c>
      <c r="J62" s="194">
        <v>1.0980000000000001</v>
      </c>
      <c r="K62" s="194">
        <v>1.0980000000000001</v>
      </c>
      <c r="L62" s="194">
        <v>1.0980000000000001</v>
      </c>
      <c r="M62" s="194">
        <v>1.0980000000000001</v>
      </c>
      <c r="N62" s="194">
        <v>1.0980000000000001</v>
      </c>
      <c r="O62" s="194">
        <v>1.044</v>
      </c>
      <c r="P62" s="194">
        <v>1.026</v>
      </c>
      <c r="Q62" s="194">
        <v>1.0980000000000001</v>
      </c>
      <c r="R62" s="194">
        <v>1.044</v>
      </c>
      <c r="S62" s="194">
        <v>1.026</v>
      </c>
      <c r="T62" s="194">
        <v>1.0980000000000001</v>
      </c>
      <c r="U62" s="194">
        <v>-1.0980000000000001</v>
      </c>
      <c r="V62" s="194">
        <v>-1.044</v>
      </c>
      <c r="W62" s="194">
        <v>-1.0980000000000001</v>
      </c>
      <c r="X62" s="194">
        <v>-1.0980000000000001</v>
      </c>
      <c r="Y62" s="194">
        <v>-1.044</v>
      </c>
      <c r="Z62" s="194">
        <v>-1.044</v>
      </c>
      <c r="AA62" s="194">
        <v>0</v>
      </c>
      <c r="AB62" s="194">
        <v>0</v>
      </c>
    </row>
    <row r="63" spans="4:28" x14ac:dyDescent="0.25">
      <c r="D63" s="32"/>
      <c r="E63" s="32"/>
      <c r="F63" s="191" t="s">
        <v>197</v>
      </c>
      <c r="G63" t="s">
        <v>282</v>
      </c>
      <c r="J63" s="194">
        <v>1.0980000000000001</v>
      </c>
      <c r="K63" s="194">
        <v>1.0980000000000001</v>
      </c>
      <c r="L63" s="194">
        <v>1.0980000000000001</v>
      </c>
      <c r="M63" s="194">
        <v>1.0980000000000001</v>
      </c>
      <c r="N63" s="194">
        <v>1.0980000000000001</v>
      </c>
      <c r="O63" s="194">
        <v>1.044</v>
      </c>
      <c r="P63" s="194">
        <v>0</v>
      </c>
      <c r="Q63" s="194">
        <v>1.0980000000000001</v>
      </c>
      <c r="R63" s="194">
        <v>1.044</v>
      </c>
      <c r="S63" s="194">
        <v>0</v>
      </c>
      <c r="T63" s="194">
        <v>1.0980000000000001</v>
      </c>
      <c r="U63" s="194">
        <v>-1.0980000000000001</v>
      </c>
      <c r="V63" s="194">
        <v>0</v>
      </c>
      <c r="W63" s="194">
        <v>-1.0980000000000001</v>
      </c>
      <c r="X63" s="194">
        <v>-1.0980000000000001</v>
      </c>
      <c r="Y63" s="194">
        <v>0</v>
      </c>
      <c r="Z63" s="194">
        <v>0</v>
      </c>
      <c r="AA63" s="194">
        <v>0</v>
      </c>
      <c r="AB63" s="194">
        <v>0</v>
      </c>
    </row>
    <row r="64" spans="4:28" x14ac:dyDescent="0.25">
      <c r="D64" s="32"/>
      <c r="E64" s="32"/>
      <c r="F64" s="192" t="s">
        <v>198</v>
      </c>
      <c r="G64" s="37" t="s">
        <v>282</v>
      </c>
      <c r="H64" s="37"/>
      <c r="I64" s="37"/>
      <c r="J64" s="195">
        <v>1.0980000000000001</v>
      </c>
      <c r="K64" s="195">
        <v>1.0980000000000001</v>
      </c>
      <c r="L64" s="195">
        <v>1.0980000000000001</v>
      </c>
      <c r="M64" s="195">
        <v>1.0980000000000001</v>
      </c>
      <c r="N64" s="195">
        <v>1.0980000000000001</v>
      </c>
      <c r="O64" s="195">
        <v>0</v>
      </c>
      <c r="P64" s="195">
        <v>0</v>
      </c>
      <c r="Q64" s="195">
        <v>1.0980000000000001</v>
      </c>
      <c r="R64" s="195">
        <v>0</v>
      </c>
      <c r="S64" s="195">
        <v>0</v>
      </c>
      <c r="T64" s="195">
        <v>1.0980000000000001</v>
      </c>
      <c r="U64" s="195">
        <v>0</v>
      </c>
      <c r="V64" s="195">
        <v>0</v>
      </c>
      <c r="W64" s="195">
        <v>0</v>
      </c>
      <c r="X64" s="195">
        <v>0</v>
      </c>
      <c r="Y64" s="195">
        <v>0</v>
      </c>
      <c r="Z64" s="195">
        <v>0</v>
      </c>
      <c r="AA64" s="195">
        <v>0</v>
      </c>
      <c r="AB64" s="195">
        <v>0</v>
      </c>
    </row>
    <row r="65" spans="3:28" x14ac:dyDescent="0.25">
      <c r="D65" s="32"/>
      <c r="E65" s="32"/>
      <c r="J65" s="163"/>
      <c r="K65" s="163"/>
      <c r="L65" s="163"/>
      <c r="M65" s="163"/>
      <c r="N65" s="163"/>
      <c r="O65" s="163"/>
      <c r="P65" s="163"/>
      <c r="Q65" s="163"/>
      <c r="R65" s="163"/>
      <c r="S65" s="163"/>
      <c r="T65" s="163"/>
      <c r="U65" s="163"/>
      <c r="V65" s="163"/>
      <c r="W65" s="163"/>
      <c r="X65" s="163"/>
      <c r="Y65" s="163"/>
      <c r="Z65" s="163"/>
      <c r="AA65" s="163"/>
      <c r="AB65" s="163"/>
    </row>
    <row r="66" spans="3:28" x14ac:dyDescent="0.25">
      <c r="E66" s="32" t="s">
        <v>415</v>
      </c>
      <c r="J66" s="163"/>
      <c r="K66" s="163"/>
      <c r="L66" s="163"/>
      <c r="M66" s="163"/>
      <c r="N66" s="163"/>
      <c r="O66" s="163"/>
      <c r="P66" s="163"/>
      <c r="Q66" s="163"/>
      <c r="R66" s="163"/>
      <c r="S66" s="163"/>
      <c r="T66" s="163"/>
      <c r="U66" s="163"/>
      <c r="V66" s="163"/>
      <c r="W66" s="163"/>
      <c r="X66" s="163"/>
      <c r="Y66" s="163"/>
      <c r="Z66" s="163"/>
      <c r="AA66" s="163"/>
      <c r="AB66" s="163"/>
    </row>
    <row r="67" spans="3:28" x14ac:dyDescent="0.25">
      <c r="D67" s="32"/>
      <c r="E67" s="32"/>
      <c r="F67" s="190" t="s">
        <v>188</v>
      </c>
      <c r="G67" s="64" t="s">
        <v>166</v>
      </c>
      <c r="H67" s="23"/>
      <c r="I67" s="23"/>
      <c r="J67" s="196"/>
      <c r="K67" s="196"/>
      <c r="L67" s="196"/>
      <c r="M67" s="196"/>
      <c r="N67" s="196"/>
      <c r="O67" s="196"/>
      <c r="P67" s="196"/>
      <c r="Q67" s="196"/>
      <c r="R67" s="196"/>
      <c r="S67" s="196"/>
      <c r="T67" s="196"/>
      <c r="U67" s="196"/>
      <c r="V67" s="196"/>
      <c r="W67" s="196"/>
      <c r="X67" s="196"/>
      <c r="Y67" s="196"/>
      <c r="Z67" s="196"/>
      <c r="AA67" s="196"/>
      <c r="AB67" s="196"/>
    </row>
    <row r="68" spans="3:28" x14ac:dyDescent="0.25">
      <c r="D68" s="32"/>
      <c r="E68" s="32"/>
      <c r="F68" s="191" t="s">
        <v>190</v>
      </c>
      <c r="G68" s="28" t="s">
        <v>166</v>
      </c>
      <c r="J68" s="197"/>
      <c r="K68" s="197"/>
      <c r="L68" s="197"/>
      <c r="M68" s="197"/>
      <c r="N68" s="197"/>
      <c r="O68" s="197"/>
      <c r="P68" s="197"/>
      <c r="Q68" s="197"/>
      <c r="R68" s="197"/>
      <c r="S68" s="197"/>
      <c r="T68" s="197"/>
      <c r="U68" s="197"/>
      <c r="V68" s="197"/>
      <c r="W68" s="197"/>
      <c r="X68" s="197"/>
      <c r="Y68" s="197"/>
      <c r="Z68" s="197"/>
      <c r="AA68" s="197"/>
      <c r="AB68" s="197"/>
    </row>
    <row r="69" spans="3:28" x14ac:dyDescent="0.25">
      <c r="D69" s="32"/>
      <c r="E69" s="32"/>
      <c r="F69" s="191" t="s">
        <v>191</v>
      </c>
      <c r="G69" s="28" t="s">
        <v>166</v>
      </c>
      <c r="J69" s="194">
        <f t="array" ref="J69:AB76">TRANSPOSE('Customer contributions'!L54:S72)</f>
        <v>0</v>
      </c>
      <c r="K69" s="194">
        <v>0</v>
      </c>
      <c r="L69" s="194">
        <v>0</v>
      </c>
      <c r="M69" s="194">
        <v>0</v>
      </c>
      <c r="N69" s="194">
        <v>0</v>
      </c>
      <c r="O69" s="194">
        <v>0</v>
      </c>
      <c r="P69" s="194">
        <v>0</v>
      </c>
      <c r="Q69" s="194">
        <v>0</v>
      </c>
      <c r="R69" s="194">
        <v>0</v>
      </c>
      <c r="S69" s="194">
        <v>0</v>
      </c>
      <c r="T69" s="194">
        <v>0</v>
      </c>
      <c r="U69" s="194">
        <v>0</v>
      </c>
      <c r="V69" s="194">
        <v>0</v>
      </c>
      <c r="W69" s="194">
        <v>0</v>
      </c>
      <c r="X69" s="194">
        <v>0</v>
      </c>
      <c r="Y69" s="194">
        <v>0</v>
      </c>
      <c r="Z69" s="194">
        <v>0</v>
      </c>
      <c r="AA69" s="194">
        <v>0</v>
      </c>
      <c r="AB69" s="194">
        <v>0</v>
      </c>
    </row>
    <row r="70" spans="3:28" x14ac:dyDescent="0.25">
      <c r="D70" s="32"/>
      <c r="E70" s="32"/>
      <c r="F70" s="191" t="s">
        <v>192</v>
      </c>
      <c r="G70" s="28" t="s">
        <v>166</v>
      </c>
      <c r="J70" s="194">
        <v>0</v>
      </c>
      <c r="K70" s="194">
        <v>0</v>
      </c>
      <c r="L70" s="194">
        <v>0</v>
      </c>
      <c r="M70" s="194">
        <v>0</v>
      </c>
      <c r="N70" s="194">
        <v>0</v>
      </c>
      <c r="O70" s="194">
        <v>0</v>
      </c>
      <c r="P70" s="194">
        <v>0</v>
      </c>
      <c r="Q70" s="194">
        <v>0</v>
      </c>
      <c r="R70" s="194">
        <v>0</v>
      </c>
      <c r="S70" s="194">
        <v>0</v>
      </c>
      <c r="T70" s="194">
        <v>0</v>
      </c>
      <c r="U70" s="194">
        <v>0</v>
      </c>
      <c r="V70" s="194">
        <v>0</v>
      </c>
      <c r="W70" s="194">
        <v>0</v>
      </c>
      <c r="X70" s="194">
        <v>0</v>
      </c>
      <c r="Y70" s="194">
        <v>0</v>
      </c>
      <c r="Z70" s="194">
        <v>0</v>
      </c>
      <c r="AA70" s="194">
        <v>0</v>
      </c>
      <c r="AB70" s="194">
        <v>0</v>
      </c>
    </row>
    <row r="71" spans="3:28" x14ac:dyDescent="0.25">
      <c r="D71" s="32"/>
      <c r="E71" s="32"/>
      <c r="F71" s="191" t="s">
        <v>193</v>
      </c>
      <c r="G71" s="28" t="s">
        <v>166</v>
      </c>
      <c r="J71" s="194">
        <v>0</v>
      </c>
      <c r="K71" s="194">
        <v>0</v>
      </c>
      <c r="L71" s="194">
        <v>0</v>
      </c>
      <c r="M71" s="194">
        <v>0</v>
      </c>
      <c r="N71" s="194">
        <v>0</v>
      </c>
      <c r="O71" s="194">
        <v>0</v>
      </c>
      <c r="P71" s="194">
        <v>3.11004784688995E-2</v>
      </c>
      <c r="Q71" s="194">
        <v>0</v>
      </c>
      <c r="R71" s="194">
        <v>0</v>
      </c>
      <c r="S71" s="194">
        <v>3.11004784688995E-2</v>
      </c>
      <c r="T71" s="194">
        <v>0</v>
      </c>
      <c r="U71" s="194">
        <v>0</v>
      </c>
      <c r="V71" s="194">
        <v>0</v>
      </c>
      <c r="W71" s="194">
        <v>0</v>
      </c>
      <c r="X71" s="194">
        <v>0</v>
      </c>
      <c r="Y71" s="194">
        <v>0</v>
      </c>
      <c r="Z71" s="194">
        <v>0</v>
      </c>
      <c r="AA71" s="194">
        <v>3.11004784688995E-2</v>
      </c>
      <c r="AB71" s="194">
        <v>3.11004784688995E-2</v>
      </c>
    </row>
    <row r="72" spans="3:28" x14ac:dyDescent="0.25">
      <c r="D72" s="32"/>
      <c r="E72" s="32"/>
      <c r="F72" s="191" t="s">
        <v>194</v>
      </c>
      <c r="G72" s="28" t="s">
        <v>166</v>
      </c>
      <c r="J72" s="194">
        <v>0</v>
      </c>
      <c r="K72" s="194">
        <v>0</v>
      </c>
      <c r="L72" s="194">
        <v>0</v>
      </c>
      <c r="M72" s="194">
        <v>0</v>
      </c>
      <c r="N72" s="194">
        <v>0</v>
      </c>
      <c r="O72" s="194">
        <v>0</v>
      </c>
      <c r="P72" s="194">
        <v>0.14212259371833799</v>
      </c>
      <c r="Q72" s="194">
        <v>0</v>
      </c>
      <c r="R72" s="194">
        <v>0</v>
      </c>
      <c r="S72" s="194">
        <v>0.14212259371833799</v>
      </c>
      <c r="T72" s="194">
        <v>0</v>
      </c>
      <c r="U72" s="194">
        <v>0</v>
      </c>
      <c r="V72" s="194">
        <v>0</v>
      </c>
      <c r="W72" s="194">
        <v>0</v>
      </c>
      <c r="X72" s="194">
        <v>0</v>
      </c>
      <c r="Y72" s="194">
        <v>0</v>
      </c>
      <c r="Z72" s="194">
        <v>0</v>
      </c>
      <c r="AA72" s="194">
        <v>0.14212259371833799</v>
      </c>
      <c r="AB72" s="194">
        <v>0.14212259371833799</v>
      </c>
    </row>
    <row r="73" spans="3:28" x14ac:dyDescent="0.25">
      <c r="D73" s="32"/>
      <c r="E73" s="32"/>
      <c r="F73" s="191" t="s">
        <v>195</v>
      </c>
      <c r="G73" s="28" t="s">
        <v>166</v>
      </c>
      <c r="J73" s="194">
        <v>0</v>
      </c>
      <c r="K73" s="194">
        <v>0</v>
      </c>
      <c r="L73" s="194">
        <v>0</v>
      </c>
      <c r="M73" s="194">
        <v>0</v>
      </c>
      <c r="N73" s="194">
        <v>0</v>
      </c>
      <c r="O73" s="194">
        <v>0</v>
      </c>
      <c r="P73" s="194">
        <v>0</v>
      </c>
      <c r="Q73" s="194">
        <v>0</v>
      </c>
      <c r="R73" s="194">
        <v>0</v>
      </c>
      <c r="S73" s="194">
        <v>0</v>
      </c>
      <c r="T73" s="194">
        <v>0</v>
      </c>
      <c r="U73" s="194">
        <v>0</v>
      </c>
      <c r="V73" s="194">
        <v>0</v>
      </c>
      <c r="W73" s="194">
        <v>0</v>
      </c>
      <c r="X73" s="194">
        <v>0</v>
      </c>
      <c r="Y73" s="194">
        <v>0</v>
      </c>
      <c r="Z73" s="194">
        <v>0</v>
      </c>
      <c r="AA73" s="194">
        <v>0</v>
      </c>
      <c r="AB73" s="194">
        <v>0</v>
      </c>
    </row>
    <row r="74" spans="3:28" x14ac:dyDescent="0.25">
      <c r="D74" s="32"/>
      <c r="E74" s="32"/>
      <c r="F74" s="191" t="s">
        <v>196</v>
      </c>
      <c r="G74" s="28" t="s">
        <v>166</v>
      </c>
      <c r="J74" s="194">
        <v>0.20065197841726601</v>
      </c>
      <c r="K74" s="194">
        <v>0.20065197841726601</v>
      </c>
      <c r="L74" s="194">
        <v>0.20065197841726601</v>
      </c>
      <c r="M74" s="194">
        <v>0.20065197841726601</v>
      </c>
      <c r="N74" s="194">
        <v>0.20065197841726601</v>
      </c>
      <c r="O74" s="194">
        <v>0.20065197841726601</v>
      </c>
      <c r="P74" s="194">
        <v>0.45146695143884902</v>
      </c>
      <c r="Q74" s="194">
        <v>0.20065197841726601</v>
      </c>
      <c r="R74" s="194">
        <v>0.20065197841726601</v>
      </c>
      <c r="S74" s="194">
        <v>0.45146695143884902</v>
      </c>
      <c r="T74" s="194">
        <v>0.20065197841726601</v>
      </c>
      <c r="U74" s="194">
        <v>0.20065197841726601</v>
      </c>
      <c r="V74" s="194">
        <v>0.20065197841726601</v>
      </c>
      <c r="W74" s="194">
        <v>0.20065197841726601</v>
      </c>
      <c r="X74" s="194">
        <v>0.20065197841726601</v>
      </c>
      <c r="Y74" s="194">
        <v>0.20065197841726601</v>
      </c>
      <c r="Z74" s="194">
        <v>0.20065197841726601</v>
      </c>
      <c r="AA74" s="194">
        <v>0.45146695143884902</v>
      </c>
      <c r="AB74" s="194">
        <v>0.45146695143884902</v>
      </c>
    </row>
    <row r="75" spans="3:28" x14ac:dyDescent="0.25">
      <c r="D75" s="32"/>
      <c r="E75" s="32"/>
      <c r="F75" s="191" t="s">
        <v>197</v>
      </c>
      <c r="G75" s="28" t="s">
        <v>166</v>
      </c>
      <c r="J75" s="194">
        <v>0.26968503937007898</v>
      </c>
      <c r="K75" s="194">
        <v>0.26968503937007898</v>
      </c>
      <c r="L75" s="194">
        <v>0.26968503937007898</v>
      </c>
      <c r="M75" s="194">
        <v>0.26968503937007898</v>
      </c>
      <c r="N75" s="194">
        <v>0.26968503937007898</v>
      </c>
      <c r="O75" s="194">
        <v>0.26968503937007898</v>
      </c>
      <c r="P75" s="194">
        <v>0</v>
      </c>
      <c r="Q75" s="194">
        <v>0.26968503937007898</v>
      </c>
      <c r="R75" s="194">
        <v>0.26968503937007898</v>
      </c>
      <c r="S75" s="194">
        <v>0</v>
      </c>
      <c r="T75" s="194">
        <v>0.26968503937007898</v>
      </c>
      <c r="U75" s="194">
        <v>0.26968503937007898</v>
      </c>
      <c r="V75" s="194">
        <v>0.26968503937007898</v>
      </c>
      <c r="W75" s="194">
        <v>0.26968503937007898</v>
      </c>
      <c r="X75" s="194">
        <v>0.26968503937007898</v>
      </c>
      <c r="Y75" s="194">
        <v>0.26968503937007898</v>
      </c>
      <c r="Z75" s="194">
        <v>0.26968503937007898</v>
      </c>
      <c r="AA75" s="194">
        <v>0</v>
      </c>
      <c r="AB75" s="194">
        <v>0</v>
      </c>
    </row>
    <row r="76" spans="3:28" x14ac:dyDescent="0.25">
      <c r="D76" s="32"/>
      <c r="E76" s="32"/>
      <c r="F76" s="192" t="s">
        <v>198</v>
      </c>
      <c r="G76" s="67" t="s">
        <v>166</v>
      </c>
      <c r="H76" s="37"/>
      <c r="I76" s="37"/>
      <c r="J76" s="195">
        <v>0.92371773930088197</v>
      </c>
      <c r="K76" s="195">
        <v>0.92371773930088197</v>
      </c>
      <c r="L76" s="195">
        <v>0.92371773930088197</v>
      </c>
      <c r="M76" s="195">
        <v>0.92371773930088197</v>
      </c>
      <c r="N76" s="195">
        <v>0.92371773930088197</v>
      </c>
      <c r="O76" s="195">
        <v>0</v>
      </c>
      <c r="P76" s="195">
        <v>0</v>
      </c>
      <c r="Q76" s="195">
        <v>0.92371773930088197</v>
      </c>
      <c r="R76" s="195">
        <v>0</v>
      </c>
      <c r="S76" s="195">
        <v>0</v>
      </c>
      <c r="T76" s="195">
        <v>0.92371773930088197</v>
      </c>
      <c r="U76" s="195">
        <v>0.92371773930088197</v>
      </c>
      <c r="V76" s="195">
        <v>0</v>
      </c>
      <c r="W76" s="195">
        <v>0.92371773930088197</v>
      </c>
      <c r="X76" s="195">
        <v>0.92371773930088197</v>
      </c>
      <c r="Y76" s="195">
        <v>0</v>
      </c>
      <c r="Z76" s="195">
        <v>0</v>
      </c>
      <c r="AA76" s="195">
        <v>0</v>
      </c>
      <c r="AB76" s="195">
        <v>0</v>
      </c>
    </row>
    <row r="77" spans="3:28" x14ac:dyDescent="0.25">
      <c r="C77" s="32"/>
      <c r="D77" s="32"/>
      <c r="J77" s="163"/>
      <c r="K77" s="163"/>
      <c r="L77" s="163"/>
      <c r="M77" s="163"/>
      <c r="N77" s="163"/>
      <c r="O77" s="163"/>
      <c r="P77" s="163"/>
      <c r="Q77" s="163"/>
      <c r="R77" s="163"/>
      <c r="S77" s="163"/>
      <c r="T77" s="163"/>
      <c r="U77" s="163"/>
      <c r="V77" s="163"/>
      <c r="W77" s="163"/>
      <c r="X77" s="163"/>
      <c r="Y77" s="163"/>
      <c r="Z77" s="163"/>
      <c r="AA77" s="163"/>
      <c r="AB77" s="163"/>
    </row>
    <row r="78" spans="3:28" x14ac:dyDescent="0.25">
      <c r="E78" s="28" t="s">
        <v>471</v>
      </c>
      <c r="F78" s="28"/>
      <c r="G78" s="28" t="s">
        <v>282</v>
      </c>
      <c r="J78" s="194">
        <f>'Pseudo-load coefficients'!J267</f>
        <v>1.9139760190013639</v>
      </c>
      <c r="K78" s="194">
        <f>'Pseudo-load coefficients'!K267</f>
        <v>1.9139760190013639</v>
      </c>
      <c r="L78" s="194">
        <f>'Pseudo-load coefficients'!L267</f>
        <v>1.5371051738770727</v>
      </c>
      <c r="M78" s="194">
        <f>'Pseudo-load coefficients'!M267</f>
        <v>1.5371051738770727</v>
      </c>
      <c r="N78" s="194">
        <f>'Pseudo-load coefficients'!N267</f>
        <v>1.40947242206235</v>
      </c>
      <c r="O78" s="194">
        <f>'Pseudo-load coefficients'!O267</f>
        <v>1.1674925668979186</v>
      </c>
      <c r="P78" s="194">
        <f>'Pseudo-load coefficients'!P267</f>
        <v>1.1495920217588396</v>
      </c>
      <c r="Q78" s="194">
        <f>'Pseudo-load coefficients'!Q267</f>
        <v>1.40947242206235</v>
      </c>
      <c r="R78" s="194">
        <f>'Pseudo-load coefficients'!R267</f>
        <v>1.1674925668979186</v>
      </c>
      <c r="S78" s="194">
        <f>'Pseudo-load coefficients'!S267</f>
        <v>1.1495920217588396</v>
      </c>
      <c r="T78" s="194">
        <f>'Pseudo-load coefficients'!T267</f>
        <v>2.0203636363636366</v>
      </c>
      <c r="U78" s="194">
        <f>'Pseudo-load coefficients'!U267</f>
        <v>1</v>
      </c>
      <c r="V78" s="194">
        <f>'Pseudo-load coefficients'!V267</f>
        <v>1</v>
      </c>
      <c r="W78" s="194">
        <f>'Pseudo-load coefficients'!W267</f>
        <v>1</v>
      </c>
      <c r="X78" s="194">
        <f>'Pseudo-load coefficients'!X267</f>
        <v>1</v>
      </c>
      <c r="Y78" s="194">
        <f>'Pseudo-load coefficients'!Y267</f>
        <v>1</v>
      </c>
      <c r="Z78" s="194">
        <f>'Pseudo-load coefficients'!Z267</f>
        <v>1</v>
      </c>
      <c r="AA78" s="194">
        <f>'Pseudo-load coefficients'!AA267</f>
        <v>1</v>
      </c>
      <c r="AB78" s="194">
        <f>'Pseudo-load coefficients'!AB267</f>
        <v>1</v>
      </c>
    </row>
    <row r="79" spans="3:28" x14ac:dyDescent="0.25">
      <c r="D79" s="32"/>
      <c r="J79" s="163"/>
      <c r="K79" s="163"/>
      <c r="L79" s="163"/>
      <c r="M79" s="163"/>
      <c r="N79" s="163"/>
      <c r="O79" s="163"/>
      <c r="P79" s="163"/>
      <c r="Q79" s="163"/>
      <c r="R79" s="163"/>
      <c r="S79" s="163"/>
      <c r="T79" s="163"/>
      <c r="U79" s="163"/>
      <c r="V79" s="163"/>
      <c r="W79" s="163"/>
      <c r="X79" s="163"/>
      <c r="Y79" s="163"/>
      <c r="Z79" s="163"/>
      <c r="AA79" s="163"/>
      <c r="AB79" s="163"/>
    </row>
    <row r="80" spans="3:28" x14ac:dyDescent="0.25">
      <c r="E80" s="32" t="s">
        <v>506</v>
      </c>
      <c r="J80" s="163"/>
      <c r="K80" s="163"/>
      <c r="L80" s="163"/>
      <c r="M80" s="163"/>
      <c r="N80" s="163"/>
      <c r="O80" s="163"/>
      <c r="P80" s="163"/>
      <c r="Q80" s="163"/>
      <c r="R80" s="163"/>
      <c r="S80" s="163"/>
      <c r="T80" s="163"/>
      <c r="U80" s="163"/>
      <c r="V80" s="163"/>
      <c r="W80" s="163"/>
      <c r="X80" s="163"/>
      <c r="Y80" s="163"/>
      <c r="Z80" s="163"/>
      <c r="AA80" s="163"/>
      <c r="AB80" s="163"/>
    </row>
    <row r="81" spans="5:28" x14ac:dyDescent="0.25">
      <c r="E81" s="32"/>
      <c r="F81" s="190" t="s">
        <v>188</v>
      </c>
      <c r="G81" s="64" t="s">
        <v>282</v>
      </c>
      <c r="H81" s="23"/>
      <c r="I81" s="23"/>
      <c r="J81" s="193">
        <f>'Pseudo-load coefficients'!J272</f>
        <v>11.527986422981362</v>
      </c>
      <c r="K81" s="193">
        <f>'Pseudo-load coefficients'!K272</f>
        <v>11.527986422981362</v>
      </c>
      <c r="L81" s="193">
        <f>'Pseudo-load coefficients'!L272</f>
        <v>13.389814573848861</v>
      </c>
      <c r="M81" s="193">
        <f>'Pseudo-load coefficients'!M272</f>
        <v>13.389814573848861</v>
      </c>
      <c r="N81" s="193">
        <f>'Pseudo-load coefficients'!N272</f>
        <v>10.350692230660494</v>
      </c>
      <c r="O81" s="193">
        <f>'Pseudo-load coefficients'!O272</f>
        <v>8.8540614426759596</v>
      </c>
      <c r="P81" s="193">
        <f>'Pseudo-load coefficients'!P272</f>
        <v>8.9869685862225737</v>
      </c>
      <c r="Q81" s="193">
        <f>'Pseudo-load coefficients'!Q272</f>
        <v>10.350692230660494</v>
      </c>
      <c r="R81" s="193">
        <f>'Pseudo-load coefficients'!R272</f>
        <v>8.8540614426759596</v>
      </c>
      <c r="S81" s="193">
        <f>'Pseudo-load coefficients'!S272</f>
        <v>8.9869685862225737</v>
      </c>
      <c r="T81" s="193">
        <f>'Pseudo-load coefficients'!T272</f>
        <v>25.023867607119033</v>
      </c>
      <c r="U81" s="193">
        <f>'Pseudo-load coefficients'!U272</f>
        <v>8.2437183626517871</v>
      </c>
      <c r="V81" s="193">
        <f>'Pseudo-load coefficients'!V272</f>
        <v>8.2437183626517871</v>
      </c>
      <c r="W81" s="193">
        <f>'Pseudo-load coefficients'!W272</f>
        <v>8.2437183626517871</v>
      </c>
      <c r="X81" s="193">
        <f>'Pseudo-load coefficients'!X272</f>
        <v>8.2437183626517871</v>
      </c>
      <c r="Y81" s="193">
        <f>'Pseudo-load coefficients'!Y272</f>
        <v>8.2437183626517871</v>
      </c>
      <c r="Z81" s="193">
        <f>'Pseudo-load coefficients'!Z272</f>
        <v>8.2437183626517871</v>
      </c>
      <c r="AA81" s="193">
        <f>'Pseudo-load coefficients'!AA272</f>
        <v>8.2437183626517871</v>
      </c>
      <c r="AB81" s="193">
        <f>'Pseudo-load coefficients'!AB272</f>
        <v>8.2437183626517871</v>
      </c>
    </row>
    <row r="82" spans="5:28" x14ac:dyDescent="0.25">
      <c r="E82" s="32"/>
      <c r="F82" s="191" t="s">
        <v>190</v>
      </c>
      <c r="G82" s="28" t="s">
        <v>282</v>
      </c>
      <c r="J82" s="194">
        <f>'Pseudo-load coefficients'!J272</f>
        <v>11.527986422981362</v>
      </c>
      <c r="K82" s="194">
        <f>'Pseudo-load coefficients'!K272</f>
        <v>11.527986422981362</v>
      </c>
      <c r="L82" s="194">
        <f>'Pseudo-load coefficients'!L272</f>
        <v>13.389814573848861</v>
      </c>
      <c r="M82" s="194">
        <f>'Pseudo-load coefficients'!M272</f>
        <v>13.389814573848861</v>
      </c>
      <c r="N82" s="194">
        <f>'Pseudo-load coefficients'!N272</f>
        <v>10.350692230660494</v>
      </c>
      <c r="O82" s="194">
        <f>'Pseudo-load coefficients'!O272</f>
        <v>8.8540614426759596</v>
      </c>
      <c r="P82" s="194">
        <f>'Pseudo-load coefficients'!P272</f>
        <v>8.9869685862225737</v>
      </c>
      <c r="Q82" s="194">
        <f>'Pseudo-load coefficients'!Q272</f>
        <v>10.350692230660494</v>
      </c>
      <c r="R82" s="194">
        <f>'Pseudo-load coefficients'!R272</f>
        <v>8.8540614426759596</v>
      </c>
      <c r="S82" s="194">
        <f>'Pseudo-load coefficients'!S272</f>
        <v>8.9869685862225737</v>
      </c>
      <c r="T82" s="194">
        <f>'Pseudo-load coefficients'!T272</f>
        <v>25.023867607119033</v>
      </c>
      <c r="U82" s="194">
        <f>'Pseudo-load coefficients'!U272</f>
        <v>8.2437183626517871</v>
      </c>
      <c r="V82" s="194">
        <f>'Pseudo-load coefficients'!V272</f>
        <v>8.2437183626517871</v>
      </c>
      <c r="W82" s="194">
        <f>'Pseudo-load coefficients'!W272</f>
        <v>8.2437183626517871</v>
      </c>
      <c r="X82" s="194">
        <f>'Pseudo-load coefficients'!X272</f>
        <v>8.2437183626517871</v>
      </c>
      <c r="Y82" s="194">
        <f>'Pseudo-load coefficients'!Y272</f>
        <v>8.2437183626517871</v>
      </c>
      <c r="Z82" s="194">
        <f>'Pseudo-load coefficients'!Z272</f>
        <v>8.2437183626517871</v>
      </c>
      <c r="AA82" s="194">
        <f>'Pseudo-load coefficients'!AA272</f>
        <v>8.2437183626517871</v>
      </c>
      <c r="AB82" s="194">
        <f>'Pseudo-load coefficients'!AB272</f>
        <v>8.2437183626517871</v>
      </c>
    </row>
    <row r="83" spans="5:28" x14ac:dyDescent="0.25">
      <c r="E83" s="32"/>
      <c r="F83" s="191" t="s">
        <v>191</v>
      </c>
      <c r="G83" s="28" t="s">
        <v>282</v>
      </c>
      <c r="J83" s="194">
        <f>'Pseudo-load coefficients'!J273</f>
        <v>0</v>
      </c>
      <c r="K83" s="194">
        <f>'Pseudo-load coefficients'!K273</f>
        <v>0</v>
      </c>
      <c r="L83" s="194">
        <f>'Pseudo-load coefficients'!L273</f>
        <v>0</v>
      </c>
      <c r="M83" s="194">
        <f>'Pseudo-load coefficients'!M273</f>
        <v>0</v>
      </c>
      <c r="N83" s="194">
        <f>'Pseudo-load coefficients'!N273</f>
        <v>0</v>
      </c>
      <c r="O83" s="194">
        <f>'Pseudo-load coefficients'!O273</f>
        <v>0</v>
      </c>
      <c r="P83" s="194">
        <f>'Pseudo-load coefficients'!P273</f>
        <v>0</v>
      </c>
      <c r="Q83" s="194">
        <f>'Pseudo-load coefficients'!Q273</f>
        <v>0</v>
      </c>
      <c r="R83" s="194">
        <f>'Pseudo-load coefficients'!R273</f>
        <v>0</v>
      </c>
      <c r="S83" s="194">
        <f>'Pseudo-load coefficients'!S273</f>
        <v>0</v>
      </c>
      <c r="T83" s="194">
        <f>'Pseudo-load coefficients'!T273</f>
        <v>0</v>
      </c>
      <c r="U83" s="194">
        <f>'Pseudo-load coefficients'!U273</f>
        <v>0</v>
      </c>
      <c r="V83" s="194">
        <f>'Pseudo-load coefficients'!V273</f>
        <v>0</v>
      </c>
      <c r="W83" s="194">
        <f>'Pseudo-load coefficients'!W273</f>
        <v>0</v>
      </c>
      <c r="X83" s="194">
        <f>'Pseudo-load coefficients'!X273</f>
        <v>0</v>
      </c>
      <c r="Y83" s="194">
        <f>'Pseudo-load coefficients'!Y273</f>
        <v>0</v>
      </c>
      <c r="Z83" s="194">
        <f>'Pseudo-load coefficients'!Z273</f>
        <v>0</v>
      </c>
      <c r="AA83" s="194">
        <f>'Pseudo-load coefficients'!AA273</f>
        <v>0</v>
      </c>
      <c r="AB83" s="194">
        <f>'Pseudo-load coefficients'!AB273</f>
        <v>0</v>
      </c>
    </row>
    <row r="84" spans="5:28" x14ac:dyDescent="0.25">
      <c r="E84" s="32"/>
      <c r="F84" s="191" t="s">
        <v>192</v>
      </c>
      <c r="G84" s="28" t="s">
        <v>282</v>
      </c>
      <c r="J84" s="194">
        <f>'Pseudo-load coefficients'!J274</f>
        <v>0</v>
      </c>
      <c r="K84" s="194">
        <f>'Pseudo-load coefficients'!K274</f>
        <v>0</v>
      </c>
      <c r="L84" s="194">
        <f>'Pseudo-load coefficients'!L274</f>
        <v>0</v>
      </c>
      <c r="M84" s="194">
        <f>'Pseudo-load coefficients'!M274</f>
        <v>0</v>
      </c>
      <c r="N84" s="194">
        <f>'Pseudo-load coefficients'!N274</f>
        <v>0</v>
      </c>
      <c r="O84" s="194">
        <f>'Pseudo-load coefficients'!O274</f>
        <v>0</v>
      </c>
      <c r="P84" s="194">
        <f>'Pseudo-load coefficients'!P274</f>
        <v>0</v>
      </c>
      <c r="Q84" s="194">
        <f>'Pseudo-load coefficients'!Q274</f>
        <v>0</v>
      </c>
      <c r="R84" s="194">
        <f>'Pseudo-load coefficients'!R274</f>
        <v>0</v>
      </c>
      <c r="S84" s="194">
        <f>'Pseudo-load coefficients'!S274</f>
        <v>0</v>
      </c>
      <c r="T84" s="194">
        <f>'Pseudo-load coefficients'!T274</f>
        <v>0</v>
      </c>
      <c r="U84" s="194">
        <f>'Pseudo-load coefficients'!U274</f>
        <v>0</v>
      </c>
      <c r="V84" s="194">
        <f>'Pseudo-load coefficients'!V274</f>
        <v>0</v>
      </c>
      <c r="W84" s="194">
        <f>'Pseudo-load coefficients'!W274</f>
        <v>0</v>
      </c>
      <c r="X84" s="194">
        <f>'Pseudo-load coefficients'!X274</f>
        <v>0</v>
      </c>
      <c r="Y84" s="194">
        <f>'Pseudo-load coefficients'!Y274</f>
        <v>0</v>
      </c>
      <c r="Z84" s="194">
        <f>'Pseudo-load coefficients'!Z274</f>
        <v>0</v>
      </c>
      <c r="AA84" s="194">
        <f>'Pseudo-load coefficients'!AA274</f>
        <v>0</v>
      </c>
      <c r="AB84" s="194">
        <f>'Pseudo-load coefficients'!AB274</f>
        <v>0</v>
      </c>
    </row>
    <row r="85" spans="5:28" x14ac:dyDescent="0.25">
      <c r="E85" s="32"/>
      <c r="F85" s="191" t="s">
        <v>193</v>
      </c>
      <c r="G85" s="28" t="s">
        <v>282</v>
      </c>
      <c r="J85" s="194">
        <f>'Pseudo-load coefficients'!J275</f>
        <v>11.527986422981362</v>
      </c>
      <c r="K85" s="194">
        <f>'Pseudo-load coefficients'!K275</f>
        <v>11.527986422981362</v>
      </c>
      <c r="L85" s="194">
        <f>'Pseudo-load coefficients'!L275</f>
        <v>13.389814573848861</v>
      </c>
      <c r="M85" s="194">
        <f>'Pseudo-load coefficients'!M275</f>
        <v>13.389814573848861</v>
      </c>
      <c r="N85" s="194">
        <f>'Pseudo-load coefficients'!N275</f>
        <v>10.350692230660494</v>
      </c>
      <c r="O85" s="194">
        <f>'Pseudo-load coefficients'!O275</f>
        <v>8.8540614426759596</v>
      </c>
      <c r="P85" s="194">
        <f>'Pseudo-load coefficients'!P275</f>
        <v>8.9869685862225737</v>
      </c>
      <c r="Q85" s="194">
        <f>'Pseudo-load coefficients'!Q275</f>
        <v>10.350692230660494</v>
      </c>
      <c r="R85" s="194">
        <f>'Pseudo-load coefficients'!R275</f>
        <v>8.8540614426759596</v>
      </c>
      <c r="S85" s="194">
        <f>'Pseudo-load coefficients'!S275</f>
        <v>8.9869685862225737</v>
      </c>
      <c r="T85" s="194">
        <f>'Pseudo-load coefficients'!T275</f>
        <v>25.023867607119033</v>
      </c>
      <c r="U85" s="194">
        <f>'Pseudo-load coefficients'!U275</f>
        <v>8.2437183626517871</v>
      </c>
      <c r="V85" s="194">
        <f>'Pseudo-load coefficients'!V275</f>
        <v>8.2437183626517871</v>
      </c>
      <c r="W85" s="194">
        <f>'Pseudo-load coefficients'!W275</f>
        <v>8.2437183626517871</v>
      </c>
      <c r="X85" s="194">
        <f>'Pseudo-load coefficients'!X275</f>
        <v>8.2437183626517871</v>
      </c>
      <c r="Y85" s="194">
        <f>'Pseudo-load coefficients'!Y275</f>
        <v>8.2437183626517871</v>
      </c>
      <c r="Z85" s="194">
        <f>'Pseudo-load coefficients'!Z275</f>
        <v>8.2437183626517871</v>
      </c>
      <c r="AA85" s="194">
        <f>'Pseudo-load coefficients'!AA275</f>
        <v>8.2437183626517871</v>
      </c>
      <c r="AB85" s="194">
        <f>'Pseudo-load coefficients'!AB275</f>
        <v>8.2437183626517871</v>
      </c>
    </row>
    <row r="86" spans="5:28" x14ac:dyDescent="0.25">
      <c r="E86" s="32"/>
      <c r="F86" s="191" t="s">
        <v>194</v>
      </c>
      <c r="G86" s="28" t="s">
        <v>282</v>
      </c>
      <c r="J86" s="194">
        <f>'Pseudo-load coefficients'!J276</f>
        <v>10.098712610250859</v>
      </c>
      <c r="K86" s="194">
        <f>'Pseudo-load coefficients'!K276</f>
        <v>10.098712610250859</v>
      </c>
      <c r="L86" s="194">
        <f>'Pseudo-load coefficients'!L276</f>
        <v>11.729705806755948</v>
      </c>
      <c r="M86" s="194">
        <f>'Pseudo-load coefficients'!M276</f>
        <v>11.729705806755948</v>
      </c>
      <c r="N86" s="194">
        <f>'Pseudo-load coefficients'!N276</f>
        <v>9.0673828298596799</v>
      </c>
      <c r="O86" s="194">
        <f>'Pseudo-load coefficients'!O276</f>
        <v>7.7563087483202686</v>
      </c>
      <c r="P86" s="194">
        <f>'Pseudo-load coefficients'!P276</f>
        <v>7.8727376715753232</v>
      </c>
      <c r="Q86" s="194">
        <f>'Pseudo-load coefficients'!Q276</f>
        <v>9.0673828298596799</v>
      </c>
      <c r="R86" s="194">
        <f>'Pseudo-load coefficients'!R276</f>
        <v>7.7563087483202686</v>
      </c>
      <c r="S86" s="194">
        <f>'Pseudo-load coefficients'!S276</f>
        <v>7.8727376715753232</v>
      </c>
      <c r="T86" s="194">
        <f>'Pseudo-load coefficients'!T276</f>
        <v>22.581879332920355</v>
      </c>
      <c r="U86" s="194">
        <f>'Pseudo-load coefficients'!U276</f>
        <v>7.2216378064347033</v>
      </c>
      <c r="V86" s="194">
        <f>'Pseudo-load coefficients'!V276</f>
        <v>7.2216378064347033</v>
      </c>
      <c r="W86" s="194">
        <f>'Pseudo-load coefficients'!W276</f>
        <v>7.2216378064347033</v>
      </c>
      <c r="X86" s="194">
        <f>'Pseudo-load coefficients'!X276</f>
        <v>7.2216378064347033</v>
      </c>
      <c r="Y86" s="194">
        <f>'Pseudo-load coefficients'!Y276</f>
        <v>7.2216378064347033</v>
      </c>
      <c r="Z86" s="194">
        <f>'Pseudo-load coefficients'!Z276</f>
        <v>7.2216378064347033</v>
      </c>
      <c r="AA86" s="194">
        <f>'Pseudo-load coefficients'!AA276</f>
        <v>7.2216378064347033</v>
      </c>
      <c r="AB86" s="194">
        <f>'Pseudo-load coefficients'!AB276</f>
        <v>7.2216378064347033</v>
      </c>
    </row>
    <row r="87" spans="5:28" x14ac:dyDescent="0.25">
      <c r="E87" s="32"/>
      <c r="F87" s="191" t="s">
        <v>195</v>
      </c>
      <c r="G87" s="28" t="s">
        <v>282</v>
      </c>
      <c r="J87" s="194">
        <f>'Pseudo-load coefficients'!J277</f>
        <v>0</v>
      </c>
      <c r="K87" s="194">
        <f>'Pseudo-load coefficients'!K277</f>
        <v>0</v>
      </c>
      <c r="L87" s="194">
        <f>'Pseudo-load coefficients'!L277</f>
        <v>0</v>
      </c>
      <c r="M87" s="194">
        <f>'Pseudo-load coefficients'!M277</f>
        <v>0</v>
      </c>
      <c r="N87" s="194">
        <f>'Pseudo-load coefficients'!N277</f>
        <v>0</v>
      </c>
      <c r="O87" s="194">
        <f>'Pseudo-load coefficients'!O277</f>
        <v>0</v>
      </c>
      <c r="P87" s="194">
        <f>'Pseudo-load coefficients'!P277</f>
        <v>0</v>
      </c>
      <c r="Q87" s="194">
        <f>'Pseudo-load coefficients'!Q277</f>
        <v>0</v>
      </c>
      <c r="R87" s="194">
        <f>'Pseudo-load coefficients'!R277</f>
        <v>0</v>
      </c>
      <c r="S87" s="194">
        <f>'Pseudo-load coefficients'!S277</f>
        <v>0</v>
      </c>
      <c r="T87" s="194">
        <f>'Pseudo-load coefficients'!T277</f>
        <v>0</v>
      </c>
      <c r="U87" s="194">
        <f>'Pseudo-load coefficients'!U277</f>
        <v>0</v>
      </c>
      <c r="V87" s="194">
        <f>'Pseudo-load coefficients'!V277</f>
        <v>0</v>
      </c>
      <c r="W87" s="194">
        <f>'Pseudo-load coefficients'!W277</f>
        <v>0</v>
      </c>
      <c r="X87" s="194">
        <f>'Pseudo-load coefficients'!X277</f>
        <v>0</v>
      </c>
      <c r="Y87" s="194">
        <f>'Pseudo-load coefficients'!Y277</f>
        <v>0</v>
      </c>
      <c r="Z87" s="194">
        <f>'Pseudo-load coefficients'!Z277</f>
        <v>0</v>
      </c>
      <c r="AA87" s="194">
        <f>'Pseudo-load coefficients'!AA277</f>
        <v>0</v>
      </c>
      <c r="AB87" s="194">
        <f>'Pseudo-load coefficients'!AB277</f>
        <v>0</v>
      </c>
    </row>
    <row r="88" spans="5:28" x14ac:dyDescent="0.25">
      <c r="E88" s="32"/>
      <c r="F88" s="191" t="s">
        <v>196</v>
      </c>
      <c r="G88" s="28" t="s">
        <v>282</v>
      </c>
      <c r="J88" s="194">
        <f>'Pseudo-load coefficients'!J278</f>
        <v>10.098712610250859</v>
      </c>
      <c r="K88" s="194">
        <f>'Pseudo-load coefficients'!K278</f>
        <v>10.098712610250859</v>
      </c>
      <c r="L88" s="194">
        <f>'Pseudo-load coefficients'!L278</f>
        <v>11.729705806755948</v>
      </c>
      <c r="M88" s="194">
        <f>'Pseudo-load coefficients'!M278</f>
        <v>11.729705806755948</v>
      </c>
      <c r="N88" s="194">
        <f>'Pseudo-load coefficients'!N278</f>
        <v>9.0673828298596799</v>
      </c>
      <c r="O88" s="194">
        <f>'Pseudo-load coefficients'!O278</f>
        <v>7.7563087483202686</v>
      </c>
      <c r="P88" s="194">
        <f>'Pseudo-load coefficients'!P278</f>
        <v>7.8727376715753232</v>
      </c>
      <c r="Q88" s="194">
        <f>'Pseudo-load coefficients'!Q278</f>
        <v>9.0673828298596799</v>
      </c>
      <c r="R88" s="194">
        <f>'Pseudo-load coefficients'!R278</f>
        <v>7.7563087483202686</v>
      </c>
      <c r="S88" s="194">
        <f>'Pseudo-load coefficients'!S278</f>
        <v>7.8727376715753232</v>
      </c>
      <c r="T88" s="194">
        <f>'Pseudo-load coefficients'!T278</f>
        <v>22.581879332920355</v>
      </c>
      <c r="U88" s="194">
        <f>'Pseudo-load coefficients'!U278</f>
        <v>7.2216378064347033</v>
      </c>
      <c r="V88" s="194">
        <f>'Pseudo-load coefficients'!V278</f>
        <v>7.2216378064347033</v>
      </c>
      <c r="W88" s="194">
        <f>'Pseudo-load coefficients'!W278</f>
        <v>7.2216378064347033</v>
      </c>
      <c r="X88" s="194">
        <f>'Pseudo-load coefficients'!X278</f>
        <v>7.2216378064347033</v>
      </c>
      <c r="Y88" s="194">
        <f>'Pseudo-load coefficients'!Y278</f>
        <v>7.2216378064347033</v>
      </c>
      <c r="Z88" s="194">
        <f>'Pseudo-load coefficients'!Z278</f>
        <v>7.2216378064347033</v>
      </c>
      <c r="AA88" s="194">
        <f>'Pseudo-load coefficients'!AA278</f>
        <v>7.2216378064347033</v>
      </c>
      <c r="AB88" s="194">
        <f>'Pseudo-load coefficients'!AB278</f>
        <v>7.2216378064347033</v>
      </c>
    </row>
    <row r="89" spans="5:28" x14ac:dyDescent="0.25">
      <c r="E89" s="32"/>
      <c r="F89" s="191" t="s">
        <v>197</v>
      </c>
      <c r="G89" s="28" t="s">
        <v>282</v>
      </c>
      <c r="J89" s="194">
        <f>'Pseudo-load coefficients'!J279</f>
        <v>10.098712610250859</v>
      </c>
      <c r="K89" s="194">
        <f>'Pseudo-load coefficients'!K279</f>
        <v>10.098712610250859</v>
      </c>
      <c r="L89" s="194">
        <f>'Pseudo-load coefficients'!L279</f>
        <v>11.729705806755948</v>
      </c>
      <c r="M89" s="194">
        <f>'Pseudo-load coefficients'!M279</f>
        <v>11.729705806755948</v>
      </c>
      <c r="N89" s="194">
        <f>'Pseudo-load coefficients'!N279</f>
        <v>9.0673828298596799</v>
      </c>
      <c r="O89" s="194">
        <f>'Pseudo-load coefficients'!O279</f>
        <v>7.7563087483202686</v>
      </c>
      <c r="P89" s="194">
        <f>'Pseudo-load coefficients'!P279</f>
        <v>7.8727376715753232</v>
      </c>
      <c r="Q89" s="194">
        <f>'Pseudo-load coefficients'!Q279</f>
        <v>9.0673828298596799</v>
      </c>
      <c r="R89" s="194">
        <f>'Pseudo-load coefficients'!R279</f>
        <v>7.7563087483202686</v>
      </c>
      <c r="S89" s="194">
        <f>'Pseudo-load coefficients'!S279</f>
        <v>7.8727376715753232</v>
      </c>
      <c r="T89" s="194">
        <f>'Pseudo-load coefficients'!T279</f>
        <v>22.581879332920355</v>
      </c>
      <c r="U89" s="194">
        <f>'Pseudo-load coefficients'!U279</f>
        <v>7.2216378064347033</v>
      </c>
      <c r="V89" s="194">
        <f>'Pseudo-load coefficients'!V279</f>
        <v>7.2216378064347033</v>
      </c>
      <c r="W89" s="194">
        <f>'Pseudo-load coefficients'!W279</f>
        <v>7.2216378064347033</v>
      </c>
      <c r="X89" s="194">
        <f>'Pseudo-load coefficients'!X279</f>
        <v>7.2216378064347033</v>
      </c>
      <c r="Y89" s="194">
        <f>'Pseudo-load coefficients'!Y279</f>
        <v>7.2216378064347033</v>
      </c>
      <c r="Z89" s="194">
        <f>'Pseudo-load coefficients'!Z279</f>
        <v>7.2216378064347033</v>
      </c>
      <c r="AA89" s="194">
        <f>'Pseudo-load coefficients'!AA279</f>
        <v>7.2216378064347033</v>
      </c>
      <c r="AB89" s="194">
        <f>'Pseudo-load coefficients'!AB279</f>
        <v>7.2216378064347033</v>
      </c>
    </row>
    <row r="90" spans="5:28" x14ac:dyDescent="0.25">
      <c r="E90" s="32"/>
      <c r="F90" s="192" t="s">
        <v>198</v>
      </c>
      <c r="G90" s="67" t="s">
        <v>282</v>
      </c>
      <c r="H90" s="37"/>
      <c r="I90" s="37"/>
      <c r="J90" s="195">
        <f>'Pseudo-load coefficients'!J280</f>
        <v>10.098712610250859</v>
      </c>
      <c r="K90" s="195">
        <f>'Pseudo-load coefficients'!K280</f>
        <v>10.098712610250859</v>
      </c>
      <c r="L90" s="195">
        <f>'Pseudo-load coefficients'!L280</f>
        <v>11.729705806755948</v>
      </c>
      <c r="M90" s="195">
        <f>'Pseudo-load coefficients'!M280</f>
        <v>11.729705806755948</v>
      </c>
      <c r="N90" s="195">
        <f>'Pseudo-load coefficients'!N280</f>
        <v>9.0673828298596799</v>
      </c>
      <c r="O90" s="195">
        <f>'Pseudo-load coefficients'!O280</f>
        <v>7.7563087483202686</v>
      </c>
      <c r="P90" s="195">
        <f>'Pseudo-load coefficients'!P280</f>
        <v>7.8727376715753232</v>
      </c>
      <c r="Q90" s="195">
        <f>'Pseudo-load coefficients'!Q280</f>
        <v>9.0673828298596799</v>
      </c>
      <c r="R90" s="195">
        <f>'Pseudo-load coefficients'!R280</f>
        <v>7.7563087483202686</v>
      </c>
      <c r="S90" s="195">
        <f>'Pseudo-load coefficients'!S280</f>
        <v>7.8727376715753232</v>
      </c>
      <c r="T90" s="195">
        <f>'Pseudo-load coefficients'!T280</f>
        <v>22.581879332920355</v>
      </c>
      <c r="U90" s="195">
        <f>'Pseudo-load coefficients'!U280</f>
        <v>7.2216378064347033</v>
      </c>
      <c r="V90" s="195">
        <f>'Pseudo-load coefficients'!V280</f>
        <v>7.2216378064347033</v>
      </c>
      <c r="W90" s="195">
        <f>'Pseudo-load coefficients'!W280</f>
        <v>7.2216378064347033</v>
      </c>
      <c r="X90" s="195">
        <f>'Pseudo-load coefficients'!X280</f>
        <v>7.2216378064347033</v>
      </c>
      <c r="Y90" s="195">
        <f>'Pseudo-load coefficients'!Y280</f>
        <v>7.2216378064347033</v>
      </c>
      <c r="Z90" s="195">
        <f>'Pseudo-load coefficients'!Z280</f>
        <v>7.2216378064347033</v>
      </c>
      <c r="AA90" s="195">
        <f>'Pseudo-load coefficients'!AA280</f>
        <v>7.2216378064347033</v>
      </c>
      <c r="AB90" s="195">
        <f>'Pseudo-load coefficients'!AB280</f>
        <v>7.2216378064347033</v>
      </c>
    </row>
    <row r="91" spans="5:28" x14ac:dyDescent="0.25">
      <c r="E91" s="32"/>
      <c r="J91" s="163"/>
      <c r="K91" s="163"/>
      <c r="L91" s="163"/>
      <c r="M91" s="163"/>
      <c r="N91" s="163"/>
      <c r="O91" s="163"/>
      <c r="P91" s="163"/>
      <c r="Q91" s="163"/>
      <c r="R91" s="163"/>
      <c r="S91" s="163"/>
      <c r="T91" s="163"/>
      <c r="U91" s="163"/>
      <c r="V91" s="163"/>
      <c r="W91" s="163"/>
      <c r="X91" s="163"/>
      <c r="Y91" s="163"/>
      <c r="Z91" s="163"/>
      <c r="AA91" s="163"/>
      <c r="AB91" s="163"/>
    </row>
    <row r="92" spans="5:28" x14ac:dyDescent="0.25">
      <c r="E92" s="32" t="s">
        <v>509</v>
      </c>
      <c r="J92" s="163"/>
      <c r="K92" s="163"/>
      <c r="L92" s="163"/>
      <c r="M92" s="163"/>
      <c r="N92" s="163"/>
      <c r="O92" s="163"/>
      <c r="P92" s="163"/>
      <c r="Q92" s="163"/>
      <c r="R92" s="163"/>
      <c r="S92" s="163"/>
      <c r="T92" s="163"/>
      <c r="U92" s="163"/>
      <c r="V92" s="163"/>
      <c r="W92" s="163"/>
      <c r="X92" s="163"/>
      <c r="Y92" s="163"/>
      <c r="Z92" s="163"/>
      <c r="AA92" s="163"/>
      <c r="AB92" s="163"/>
    </row>
    <row r="93" spans="5:28" x14ac:dyDescent="0.25">
      <c r="E93" s="32"/>
      <c r="F93" s="190" t="s">
        <v>188</v>
      </c>
      <c r="G93" s="64" t="s">
        <v>282</v>
      </c>
      <c r="H93" s="23"/>
      <c r="I93" s="23"/>
      <c r="J93" s="193">
        <f>'Pseudo-load coefficients'!J283</f>
        <v>0.92349228307239573</v>
      </c>
      <c r="K93" s="193">
        <f>'Pseudo-load coefficients'!K283</f>
        <v>0.92349228307239573</v>
      </c>
      <c r="L93" s="193">
        <f>'Pseudo-load coefficients'!L283</f>
        <v>1.0726409606164153</v>
      </c>
      <c r="M93" s="193">
        <f>'Pseudo-load coefficients'!M283</f>
        <v>1.0726409606164153</v>
      </c>
      <c r="N93" s="193">
        <f>'Pseudo-load coefficients'!N283</f>
        <v>0.82918074750822601</v>
      </c>
      <c r="O93" s="193">
        <f>'Pseudo-load coefficients'!O283</f>
        <v>0.70928756472680232</v>
      </c>
      <c r="P93" s="193">
        <f>'Pseudo-load coefficients'!P283</f>
        <v>0.71993458641185648</v>
      </c>
      <c r="Q93" s="193">
        <f>'Pseudo-load coefficients'!Q283</f>
        <v>0.82918074750822601</v>
      </c>
      <c r="R93" s="193">
        <f>'Pseudo-load coefficients'!R283</f>
        <v>0.70928756472680232</v>
      </c>
      <c r="S93" s="193">
        <f>'Pseudo-load coefficients'!S283</f>
        <v>0.71993458641185648</v>
      </c>
      <c r="T93" s="193">
        <f>'Pseudo-load coefficients'!T283</f>
        <v>0.79110253955261312</v>
      </c>
      <c r="U93" s="193">
        <f>'Pseudo-load coefficients'!U283</f>
        <v>0.66039375936064448</v>
      </c>
      <c r="V93" s="193">
        <f>'Pseudo-load coefficients'!V283</f>
        <v>0.66039375936064448</v>
      </c>
      <c r="W93" s="193">
        <f>'Pseudo-load coefficients'!W283</f>
        <v>0.66039375936064448</v>
      </c>
      <c r="X93" s="193">
        <f>'Pseudo-load coefficients'!X283</f>
        <v>0.66039375936064448</v>
      </c>
      <c r="Y93" s="193">
        <f>'Pseudo-load coefficients'!Y283</f>
        <v>0.66039375936064448</v>
      </c>
      <c r="Z93" s="193">
        <f>'Pseudo-load coefficients'!Z283</f>
        <v>0.66039375936064448</v>
      </c>
      <c r="AA93" s="193">
        <f>'Pseudo-load coefficients'!AA283</f>
        <v>0.66039375936064448</v>
      </c>
      <c r="AB93" s="193">
        <f>'Pseudo-load coefficients'!AB283</f>
        <v>0.66039375936064448</v>
      </c>
    </row>
    <row r="94" spans="5:28" x14ac:dyDescent="0.25">
      <c r="E94" s="32"/>
      <c r="F94" s="191" t="s">
        <v>190</v>
      </c>
      <c r="G94" s="28" t="s">
        <v>282</v>
      </c>
      <c r="J94" s="194">
        <f>'Pseudo-load coefficients'!J283</f>
        <v>0.92349228307239573</v>
      </c>
      <c r="K94" s="194">
        <f>'Pseudo-load coefficients'!K283</f>
        <v>0.92349228307239573</v>
      </c>
      <c r="L94" s="194">
        <f>'Pseudo-load coefficients'!L283</f>
        <v>1.0726409606164153</v>
      </c>
      <c r="M94" s="194">
        <f>'Pseudo-load coefficients'!M283</f>
        <v>1.0726409606164153</v>
      </c>
      <c r="N94" s="194">
        <f>'Pseudo-load coefficients'!N283</f>
        <v>0.82918074750822601</v>
      </c>
      <c r="O94" s="194">
        <f>'Pseudo-load coefficients'!O283</f>
        <v>0.70928756472680232</v>
      </c>
      <c r="P94" s="194">
        <f>'Pseudo-load coefficients'!P283</f>
        <v>0.71993458641185648</v>
      </c>
      <c r="Q94" s="194">
        <f>'Pseudo-load coefficients'!Q283</f>
        <v>0.82918074750822601</v>
      </c>
      <c r="R94" s="194">
        <f>'Pseudo-load coefficients'!R283</f>
        <v>0.70928756472680232</v>
      </c>
      <c r="S94" s="194">
        <f>'Pseudo-load coefficients'!S283</f>
        <v>0.71993458641185648</v>
      </c>
      <c r="T94" s="194">
        <f>'Pseudo-load coefficients'!T283</f>
        <v>0.79110253955261312</v>
      </c>
      <c r="U94" s="194">
        <f>'Pseudo-load coefficients'!U283</f>
        <v>0.66039375936064448</v>
      </c>
      <c r="V94" s="194">
        <f>'Pseudo-load coefficients'!V283</f>
        <v>0.66039375936064448</v>
      </c>
      <c r="W94" s="194">
        <f>'Pseudo-load coefficients'!W283</f>
        <v>0.66039375936064448</v>
      </c>
      <c r="X94" s="194">
        <f>'Pseudo-load coefficients'!X283</f>
        <v>0.66039375936064448</v>
      </c>
      <c r="Y94" s="194">
        <f>'Pseudo-load coefficients'!Y283</f>
        <v>0.66039375936064448</v>
      </c>
      <c r="Z94" s="194">
        <f>'Pseudo-load coefficients'!Z283</f>
        <v>0.66039375936064448</v>
      </c>
      <c r="AA94" s="194">
        <f>'Pseudo-load coefficients'!AA283</f>
        <v>0.66039375936064448</v>
      </c>
      <c r="AB94" s="194">
        <f>'Pseudo-load coefficients'!AB283</f>
        <v>0.66039375936064448</v>
      </c>
    </row>
    <row r="95" spans="5:28" x14ac:dyDescent="0.25">
      <c r="E95" s="32"/>
      <c r="F95" s="191" t="s">
        <v>191</v>
      </c>
      <c r="G95" s="28" t="s">
        <v>282</v>
      </c>
      <c r="J95" s="194">
        <f>'Pseudo-load coefficients'!J284</f>
        <v>0</v>
      </c>
      <c r="K95" s="194">
        <f>'Pseudo-load coefficients'!K284</f>
        <v>0</v>
      </c>
      <c r="L95" s="194">
        <f>'Pseudo-load coefficients'!L284</f>
        <v>0</v>
      </c>
      <c r="M95" s="194">
        <f>'Pseudo-load coefficients'!M284</f>
        <v>0</v>
      </c>
      <c r="N95" s="194">
        <f>'Pseudo-load coefficients'!N284</f>
        <v>0</v>
      </c>
      <c r="O95" s="194">
        <f>'Pseudo-load coefficients'!O284</f>
        <v>0</v>
      </c>
      <c r="P95" s="194">
        <f>'Pseudo-load coefficients'!P284</f>
        <v>0</v>
      </c>
      <c r="Q95" s="194">
        <f>'Pseudo-load coefficients'!Q284</f>
        <v>0</v>
      </c>
      <c r="R95" s="194">
        <f>'Pseudo-load coefficients'!R284</f>
        <v>0</v>
      </c>
      <c r="S95" s="194">
        <f>'Pseudo-load coefficients'!S284</f>
        <v>0</v>
      </c>
      <c r="T95" s="194">
        <f>'Pseudo-load coefficients'!T284</f>
        <v>0</v>
      </c>
      <c r="U95" s="194">
        <f>'Pseudo-load coefficients'!U284</f>
        <v>0</v>
      </c>
      <c r="V95" s="194">
        <f>'Pseudo-load coefficients'!V284</f>
        <v>0</v>
      </c>
      <c r="W95" s="194">
        <f>'Pseudo-load coefficients'!W284</f>
        <v>0</v>
      </c>
      <c r="X95" s="194">
        <f>'Pseudo-load coefficients'!X284</f>
        <v>0</v>
      </c>
      <c r="Y95" s="194">
        <f>'Pseudo-load coefficients'!Y284</f>
        <v>0</v>
      </c>
      <c r="Z95" s="194">
        <f>'Pseudo-load coefficients'!Z284</f>
        <v>0</v>
      </c>
      <c r="AA95" s="194">
        <f>'Pseudo-load coefficients'!AA284</f>
        <v>0</v>
      </c>
      <c r="AB95" s="194">
        <f>'Pseudo-load coefficients'!AB284</f>
        <v>0</v>
      </c>
    </row>
    <row r="96" spans="5:28" x14ac:dyDescent="0.25">
      <c r="E96" s="32"/>
      <c r="F96" s="191" t="s">
        <v>192</v>
      </c>
      <c r="G96" s="28" t="s">
        <v>282</v>
      </c>
      <c r="J96" s="194">
        <f>'Pseudo-load coefficients'!J285</f>
        <v>0</v>
      </c>
      <c r="K96" s="194">
        <f>'Pseudo-load coefficients'!K285</f>
        <v>0</v>
      </c>
      <c r="L96" s="194">
        <f>'Pseudo-load coefficients'!L285</f>
        <v>0</v>
      </c>
      <c r="M96" s="194">
        <f>'Pseudo-load coefficients'!M285</f>
        <v>0</v>
      </c>
      <c r="N96" s="194">
        <f>'Pseudo-load coefficients'!N285</f>
        <v>0</v>
      </c>
      <c r="O96" s="194">
        <f>'Pseudo-load coefficients'!O285</f>
        <v>0</v>
      </c>
      <c r="P96" s="194">
        <f>'Pseudo-load coefficients'!P285</f>
        <v>0</v>
      </c>
      <c r="Q96" s="194">
        <f>'Pseudo-load coefficients'!Q285</f>
        <v>0</v>
      </c>
      <c r="R96" s="194">
        <f>'Pseudo-load coefficients'!R285</f>
        <v>0</v>
      </c>
      <c r="S96" s="194">
        <f>'Pseudo-load coefficients'!S285</f>
        <v>0</v>
      </c>
      <c r="T96" s="194">
        <f>'Pseudo-load coefficients'!T285</f>
        <v>0</v>
      </c>
      <c r="U96" s="194">
        <f>'Pseudo-load coefficients'!U285</f>
        <v>0</v>
      </c>
      <c r="V96" s="194">
        <f>'Pseudo-load coefficients'!V285</f>
        <v>0</v>
      </c>
      <c r="W96" s="194">
        <f>'Pseudo-load coefficients'!W285</f>
        <v>0</v>
      </c>
      <c r="X96" s="194">
        <f>'Pseudo-load coefficients'!X285</f>
        <v>0</v>
      </c>
      <c r="Y96" s="194">
        <f>'Pseudo-load coefficients'!Y285</f>
        <v>0</v>
      </c>
      <c r="Z96" s="194">
        <f>'Pseudo-load coefficients'!Z285</f>
        <v>0</v>
      </c>
      <c r="AA96" s="194">
        <f>'Pseudo-load coefficients'!AA285</f>
        <v>0</v>
      </c>
      <c r="AB96" s="194">
        <f>'Pseudo-load coefficients'!AB285</f>
        <v>0</v>
      </c>
    </row>
    <row r="97" spans="3:28" x14ac:dyDescent="0.25">
      <c r="E97" s="32"/>
      <c r="F97" s="191" t="s">
        <v>193</v>
      </c>
      <c r="G97" s="28" t="s">
        <v>282</v>
      </c>
      <c r="J97" s="194">
        <f>'Pseudo-load coefficients'!J286</f>
        <v>0.92349228307239573</v>
      </c>
      <c r="K97" s="194">
        <f>'Pseudo-load coefficients'!K286</f>
        <v>0.92349228307239573</v>
      </c>
      <c r="L97" s="194">
        <f>'Pseudo-load coefficients'!L286</f>
        <v>1.0726409606164153</v>
      </c>
      <c r="M97" s="194">
        <f>'Pseudo-load coefficients'!M286</f>
        <v>1.0726409606164153</v>
      </c>
      <c r="N97" s="194">
        <f>'Pseudo-load coefficients'!N286</f>
        <v>0.82918074750822601</v>
      </c>
      <c r="O97" s="194">
        <f>'Pseudo-load coefficients'!O286</f>
        <v>0.70928756472680232</v>
      </c>
      <c r="P97" s="194">
        <f>'Pseudo-load coefficients'!P286</f>
        <v>0.71993458641185648</v>
      </c>
      <c r="Q97" s="194">
        <f>'Pseudo-load coefficients'!Q286</f>
        <v>0.82918074750822601</v>
      </c>
      <c r="R97" s="194">
        <f>'Pseudo-load coefficients'!R286</f>
        <v>0.70928756472680232</v>
      </c>
      <c r="S97" s="194">
        <f>'Pseudo-load coefficients'!S286</f>
        <v>0.71993458641185648</v>
      </c>
      <c r="T97" s="194">
        <f>'Pseudo-load coefficients'!T286</f>
        <v>0.79110253955261312</v>
      </c>
      <c r="U97" s="194">
        <f>'Pseudo-load coefficients'!U286</f>
        <v>0.66039375936064448</v>
      </c>
      <c r="V97" s="194">
        <f>'Pseudo-load coefficients'!V286</f>
        <v>0.66039375936064448</v>
      </c>
      <c r="W97" s="194">
        <f>'Pseudo-load coefficients'!W286</f>
        <v>0.66039375936064448</v>
      </c>
      <c r="X97" s="194">
        <f>'Pseudo-load coefficients'!X286</f>
        <v>0.66039375936064448</v>
      </c>
      <c r="Y97" s="194">
        <f>'Pseudo-load coefficients'!Y286</f>
        <v>0.66039375936064448</v>
      </c>
      <c r="Z97" s="194">
        <f>'Pseudo-load coefficients'!Z286</f>
        <v>0.66039375936064448</v>
      </c>
      <c r="AA97" s="194">
        <f>'Pseudo-load coefficients'!AA286</f>
        <v>0.66039375936064448</v>
      </c>
      <c r="AB97" s="194">
        <f>'Pseudo-load coefficients'!AB286</f>
        <v>0.66039375936064448</v>
      </c>
    </row>
    <row r="98" spans="3:28" x14ac:dyDescent="0.25">
      <c r="E98" s="32"/>
      <c r="F98" s="191" t="s">
        <v>194</v>
      </c>
      <c r="G98" s="28" t="s">
        <v>282</v>
      </c>
      <c r="J98" s="194">
        <f>'Pseudo-load coefficients'!J287</f>
        <v>1.2155817714261268</v>
      </c>
      <c r="K98" s="194">
        <f>'Pseudo-load coefficients'!K287</f>
        <v>1.2155817714261268</v>
      </c>
      <c r="L98" s="194">
        <f>'Pseudo-load coefficients'!L287</f>
        <v>1.4119043796147333</v>
      </c>
      <c r="M98" s="194">
        <f>'Pseudo-load coefficients'!M287</f>
        <v>1.4119043796147333</v>
      </c>
      <c r="N98" s="194">
        <f>'Pseudo-load coefficients'!N287</f>
        <v>1.0914406328715081</v>
      </c>
      <c r="O98" s="194">
        <f>'Pseudo-load coefficients'!O287</f>
        <v>0.93362668014145112</v>
      </c>
      <c r="P98" s="194">
        <f>'Pseudo-load coefficients'!P287</f>
        <v>0.94764122657303829</v>
      </c>
      <c r="Q98" s="194">
        <f>'Pseudo-load coefficients'!Q287</f>
        <v>1.0914406328715081</v>
      </c>
      <c r="R98" s="194">
        <f>'Pseudo-load coefficients'!R287</f>
        <v>0.93362668014145112</v>
      </c>
      <c r="S98" s="194">
        <f>'Pseudo-load coefficients'!S287</f>
        <v>0.94764122657303829</v>
      </c>
      <c r="T98" s="194">
        <f>'Pseudo-load coefficients'!T287</f>
        <v>0.92680435825893326</v>
      </c>
      <c r="U98" s="194">
        <f>'Pseudo-load coefficients'!U287</f>
        <v>0.86926835292184057</v>
      </c>
      <c r="V98" s="194">
        <f>'Pseudo-load coefficients'!V287</f>
        <v>0.86926835292184057</v>
      </c>
      <c r="W98" s="194">
        <f>'Pseudo-load coefficients'!W287</f>
        <v>0.86926835292184057</v>
      </c>
      <c r="X98" s="194">
        <f>'Pseudo-load coefficients'!X287</f>
        <v>0.86926835292184057</v>
      </c>
      <c r="Y98" s="194">
        <f>'Pseudo-load coefficients'!Y287</f>
        <v>0.86926835292184057</v>
      </c>
      <c r="Z98" s="194">
        <f>'Pseudo-load coefficients'!Z287</f>
        <v>0.86926835292184057</v>
      </c>
      <c r="AA98" s="194">
        <f>'Pseudo-load coefficients'!AA287</f>
        <v>0.86926835292184057</v>
      </c>
      <c r="AB98" s="194">
        <f>'Pseudo-load coefficients'!AB287</f>
        <v>0.86926835292184057</v>
      </c>
    </row>
    <row r="99" spans="3:28" x14ac:dyDescent="0.25">
      <c r="E99" s="32"/>
      <c r="F99" s="191" t="s">
        <v>195</v>
      </c>
      <c r="G99" s="28" t="s">
        <v>282</v>
      </c>
      <c r="J99" s="194">
        <f>'Pseudo-load coefficients'!J288</f>
        <v>0</v>
      </c>
      <c r="K99" s="194">
        <f>'Pseudo-load coefficients'!K288</f>
        <v>0</v>
      </c>
      <c r="L99" s="194">
        <f>'Pseudo-load coefficients'!L288</f>
        <v>0</v>
      </c>
      <c r="M99" s="194">
        <f>'Pseudo-load coefficients'!M288</f>
        <v>0</v>
      </c>
      <c r="N99" s="194">
        <f>'Pseudo-load coefficients'!N288</f>
        <v>0</v>
      </c>
      <c r="O99" s="194">
        <f>'Pseudo-load coefficients'!O288</f>
        <v>0</v>
      </c>
      <c r="P99" s="194">
        <f>'Pseudo-load coefficients'!P288</f>
        <v>0</v>
      </c>
      <c r="Q99" s="194">
        <f>'Pseudo-load coefficients'!Q288</f>
        <v>0</v>
      </c>
      <c r="R99" s="194">
        <f>'Pseudo-load coefficients'!R288</f>
        <v>0</v>
      </c>
      <c r="S99" s="194">
        <f>'Pseudo-load coefficients'!S288</f>
        <v>0</v>
      </c>
      <c r="T99" s="194">
        <f>'Pseudo-load coefficients'!T288</f>
        <v>0</v>
      </c>
      <c r="U99" s="194">
        <f>'Pseudo-load coefficients'!U288</f>
        <v>0</v>
      </c>
      <c r="V99" s="194">
        <f>'Pseudo-load coefficients'!V288</f>
        <v>0</v>
      </c>
      <c r="W99" s="194">
        <f>'Pseudo-load coefficients'!W288</f>
        <v>0</v>
      </c>
      <c r="X99" s="194">
        <f>'Pseudo-load coefficients'!X288</f>
        <v>0</v>
      </c>
      <c r="Y99" s="194">
        <f>'Pseudo-load coefficients'!Y288</f>
        <v>0</v>
      </c>
      <c r="Z99" s="194">
        <f>'Pseudo-load coefficients'!Z288</f>
        <v>0</v>
      </c>
      <c r="AA99" s="194">
        <f>'Pseudo-load coefficients'!AA288</f>
        <v>0</v>
      </c>
      <c r="AB99" s="194">
        <f>'Pseudo-load coefficients'!AB288</f>
        <v>0</v>
      </c>
    </row>
    <row r="100" spans="3:28" x14ac:dyDescent="0.25">
      <c r="E100" s="32"/>
      <c r="F100" s="191" t="s">
        <v>196</v>
      </c>
      <c r="G100" s="28" t="s">
        <v>282</v>
      </c>
      <c r="J100" s="194">
        <f>'Pseudo-load coefficients'!J289</f>
        <v>1.2155817714261268</v>
      </c>
      <c r="K100" s="194">
        <f>'Pseudo-load coefficients'!K289</f>
        <v>1.2155817714261268</v>
      </c>
      <c r="L100" s="194">
        <f>'Pseudo-load coefficients'!L289</f>
        <v>1.4119043796147333</v>
      </c>
      <c r="M100" s="194">
        <f>'Pseudo-load coefficients'!M289</f>
        <v>1.4119043796147333</v>
      </c>
      <c r="N100" s="194">
        <f>'Pseudo-load coefficients'!N289</f>
        <v>1.0914406328715081</v>
      </c>
      <c r="O100" s="194">
        <f>'Pseudo-load coefficients'!O289</f>
        <v>0.93362668014145112</v>
      </c>
      <c r="P100" s="194">
        <f>'Pseudo-load coefficients'!P289</f>
        <v>0.94764122657303829</v>
      </c>
      <c r="Q100" s="194">
        <f>'Pseudo-load coefficients'!Q289</f>
        <v>1.0914406328715081</v>
      </c>
      <c r="R100" s="194">
        <f>'Pseudo-load coefficients'!R289</f>
        <v>0.93362668014145112</v>
      </c>
      <c r="S100" s="194">
        <f>'Pseudo-load coefficients'!S289</f>
        <v>0.94764122657303829</v>
      </c>
      <c r="T100" s="194">
        <f>'Pseudo-load coefficients'!T289</f>
        <v>0.92680435825893326</v>
      </c>
      <c r="U100" s="194">
        <f>'Pseudo-load coefficients'!U289</f>
        <v>0.86926835292184057</v>
      </c>
      <c r="V100" s="194">
        <f>'Pseudo-load coefficients'!V289</f>
        <v>0.86926835292184057</v>
      </c>
      <c r="W100" s="194">
        <f>'Pseudo-load coefficients'!W289</f>
        <v>0.86926835292184057</v>
      </c>
      <c r="X100" s="194">
        <f>'Pseudo-load coefficients'!X289</f>
        <v>0.86926835292184057</v>
      </c>
      <c r="Y100" s="194">
        <f>'Pseudo-load coefficients'!Y289</f>
        <v>0.86926835292184057</v>
      </c>
      <c r="Z100" s="194">
        <f>'Pseudo-load coefficients'!Z289</f>
        <v>0.86926835292184057</v>
      </c>
      <c r="AA100" s="194">
        <f>'Pseudo-load coefficients'!AA289</f>
        <v>0.86926835292184057</v>
      </c>
      <c r="AB100" s="194">
        <f>'Pseudo-load coefficients'!AB289</f>
        <v>0.86926835292184057</v>
      </c>
    </row>
    <row r="101" spans="3:28" x14ac:dyDescent="0.25">
      <c r="E101" s="32"/>
      <c r="F101" s="191" t="s">
        <v>197</v>
      </c>
      <c r="G101" s="28" t="s">
        <v>282</v>
      </c>
      <c r="J101" s="194">
        <f>'Pseudo-load coefficients'!J290</f>
        <v>1.2155817714261268</v>
      </c>
      <c r="K101" s="194">
        <f>'Pseudo-load coefficients'!K290</f>
        <v>1.2155817714261268</v>
      </c>
      <c r="L101" s="194">
        <f>'Pseudo-load coefficients'!L290</f>
        <v>1.4119043796147333</v>
      </c>
      <c r="M101" s="194">
        <f>'Pseudo-load coefficients'!M290</f>
        <v>1.4119043796147333</v>
      </c>
      <c r="N101" s="194">
        <f>'Pseudo-load coefficients'!N290</f>
        <v>1.0914406328715081</v>
      </c>
      <c r="O101" s="194">
        <f>'Pseudo-load coefficients'!O290</f>
        <v>0.93362668014145112</v>
      </c>
      <c r="P101" s="194">
        <f>'Pseudo-load coefficients'!P290</f>
        <v>0.94764122657303829</v>
      </c>
      <c r="Q101" s="194">
        <f>'Pseudo-load coefficients'!Q290</f>
        <v>1.0914406328715081</v>
      </c>
      <c r="R101" s="194">
        <f>'Pseudo-load coefficients'!R290</f>
        <v>0.93362668014145112</v>
      </c>
      <c r="S101" s="194">
        <f>'Pseudo-load coefficients'!S290</f>
        <v>0.94764122657303829</v>
      </c>
      <c r="T101" s="194">
        <f>'Pseudo-load coefficients'!T290</f>
        <v>0.92680435825893326</v>
      </c>
      <c r="U101" s="194">
        <f>'Pseudo-load coefficients'!U290</f>
        <v>0.86926835292184057</v>
      </c>
      <c r="V101" s="194">
        <f>'Pseudo-load coefficients'!V290</f>
        <v>0.86926835292184057</v>
      </c>
      <c r="W101" s="194">
        <f>'Pseudo-load coefficients'!W290</f>
        <v>0.86926835292184057</v>
      </c>
      <c r="X101" s="194">
        <f>'Pseudo-load coefficients'!X290</f>
        <v>0.86926835292184057</v>
      </c>
      <c r="Y101" s="194">
        <f>'Pseudo-load coefficients'!Y290</f>
        <v>0.86926835292184057</v>
      </c>
      <c r="Z101" s="194">
        <f>'Pseudo-load coefficients'!Z290</f>
        <v>0.86926835292184057</v>
      </c>
      <c r="AA101" s="194">
        <f>'Pseudo-load coefficients'!AA290</f>
        <v>0.86926835292184057</v>
      </c>
      <c r="AB101" s="194">
        <f>'Pseudo-load coefficients'!AB290</f>
        <v>0.86926835292184057</v>
      </c>
    </row>
    <row r="102" spans="3:28" x14ac:dyDescent="0.25">
      <c r="E102" s="32"/>
      <c r="F102" s="192" t="s">
        <v>198</v>
      </c>
      <c r="G102" s="67" t="s">
        <v>282</v>
      </c>
      <c r="H102" s="37"/>
      <c r="I102" s="37"/>
      <c r="J102" s="195">
        <f>'Pseudo-load coefficients'!J291</f>
        <v>1.2155817714261268</v>
      </c>
      <c r="K102" s="195">
        <f>'Pseudo-load coefficients'!K291</f>
        <v>1.2155817714261268</v>
      </c>
      <c r="L102" s="195">
        <f>'Pseudo-load coefficients'!L291</f>
        <v>1.4119043796147333</v>
      </c>
      <c r="M102" s="195">
        <f>'Pseudo-load coefficients'!M291</f>
        <v>1.4119043796147333</v>
      </c>
      <c r="N102" s="195">
        <f>'Pseudo-load coefficients'!N291</f>
        <v>1.0914406328715081</v>
      </c>
      <c r="O102" s="195">
        <f>'Pseudo-load coefficients'!O291</f>
        <v>0.93362668014145112</v>
      </c>
      <c r="P102" s="195">
        <f>'Pseudo-load coefficients'!P291</f>
        <v>0.94764122657303829</v>
      </c>
      <c r="Q102" s="195">
        <f>'Pseudo-load coefficients'!Q291</f>
        <v>1.0914406328715081</v>
      </c>
      <c r="R102" s="195">
        <f>'Pseudo-load coefficients'!R291</f>
        <v>0.93362668014145112</v>
      </c>
      <c r="S102" s="195">
        <f>'Pseudo-load coefficients'!S291</f>
        <v>0.94764122657303829</v>
      </c>
      <c r="T102" s="195">
        <f>'Pseudo-load coefficients'!T291</f>
        <v>0.92680435825893326</v>
      </c>
      <c r="U102" s="195">
        <f>'Pseudo-load coefficients'!U291</f>
        <v>0.86926835292184057</v>
      </c>
      <c r="V102" s="195">
        <f>'Pseudo-load coefficients'!V291</f>
        <v>0.86926835292184057</v>
      </c>
      <c r="W102" s="195">
        <f>'Pseudo-load coefficients'!W291</f>
        <v>0.86926835292184057</v>
      </c>
      <c r="X102" s="195">
        <f>'Pseudo-load coefficients'!X291</f>
        <v>0.86926835292184057</v>
      </c>
      <c r="Y102" s="195">
        <f>'Pseudo-load coefficients'!Y291</f>
        <v>0.86926835292184057</v>
      </c>
      <c r="Z102" s="195">
        <f>'Pseudo-load coefficients'!Z291</f>
        <v>0.86926835292184057</v>
      </c>
      <c r="AA102" s="195">
        <f>'Pseudo-load coefficients'!AA291</f>
        <v>0.86926835292184057</v>
      </c>
      <c r="AB102" s="195">
        <f>'Pseudo-load coefficients'!AB291</f>
        <v>0.86926835292184057</v>
      </c>
    </row>
    <row r="103" spans="3:28" x14ac:dyDescent="0.25">
      <c r="E103" s="32"/>
      <c r="J103" s="163"/>
      <c r="K103" s="163"/>
      <c r="L103" s="163"/>
      <c r="M103" s="163"/>
      <c r="N103" s="163"/>
      <c r="O103" s="163"/>
      <c r="P103" s="163"/>
      <c r="Q103" s="163"/>
      <c r="R103" s="163"/>
      <c r="S103" s="163"/>
      <c r="T103" s="163"/>
      <c r="U103" s="163"/>
      <c r="V103" s="163"/>
      <c r="W103" s="163"/>
      <c r="X103" s="163"/>
      <c r="Y103" s="163"/>
      <c r="Z103" s="163"/>
      <c r="AA103" s="163"/>
      <c r="AB103" s="163"/>
    </row>
    <row r="104" spans="3:28" x14ac:dyDescent="0.25">
      <c r="E104" s="32" t="s">
        <v>512</v>
      </c>
      <c r="J104" s="163"/>
      <c r="K104" s="163"/>
      <c r="L104" s="163"/>
      <c r="M104" s="163"/>
      <c r="N104" s="163"/>
      <c r="O104" s="163"/>
      <c r="P104" s="163"/>
      <c r="Q104" s="163"/>
      <c r="R104" s="163"/>
      <c r="S104" s="163"/>
      <c r="T104" s="163"/>
      <c r="U104" s="163"/>
      <c r="V104" s="163"/>
      <c r="W104" s="163"/>
      <c r="X104" s="163"/>
      <c r="Y104" s="163"/>
      <c r="Z104" s="163"/>
      <c r="AA104" s="163"/>
      <c r="AB104" s="163"/>
    </row>
    <row r="105" spans="3:28" x14ac:dyDescent="0.25">
      <c r="C105" s="32"/>
      <c r="E105" s="32"/>
      <c r="F105" s="190" t="s">
        <v>188</v>
      </c>
      <c r="G105" s="64" t="s">
        <v>282</v>
      </c>
      <c r="H105" s="23"/>
      <c r="I105" s="23"/>
      <c r="J105" s="193">
        <f>'Pseudo-load coefficients'!J294</f>
        <v>1.4805259537586315E-2</v>
      </c>
      <c r="K105" s="193">
        <f>'Pseudo-load coefficients'!K294</f>
        <v>1.4805259537586315E-2</v>
      </c>
      <c r="L105" s="193">
        <f>'Pseudo-load coefficients'!L294</f>
        <v>1.7196383882860215E-2</v>
      </c>
      <c r="M105" s="193">
        <f>'Pseudo-load coefficients'!M294</f>
        <v>1.7196383882860215E-2</v>
      </c>
      <c r="N105" s="193">
        <f>'Pseudo-load coefficients'!N294</f>
        <v>1.3293274232446117E-2</v>
      </c>
      <c r="O105" s="193">
        <f>'Pseudo-load coefficients'!O294</f>
        <v>1.1371168633511621E-2</v>
      </c>
      <c r="P105" s="193">
        <f>'Pseudo-load coefficients'!P294</f>
        <v>1.1541859739695104E-2</v>
      </c>
      <c r="Q105" s="193">
        <f>'Pseudo-load coefficients'!Q294</f>
        <v>1.3293274232446117E-2</v>
      </c>
      <c r="R105" s="193">
        <f>'Pseudo-load coefficients'!R294</f>
        <v>1.1371168633511621E-2</v>
      </c>
      <c r="S105" s="193">
        <f>'Pseudo-load coefficients'!S294</f>
        <v>1.1541859739695104E-2</v>
      </c>
      <c r="T105" s="193">
        <f>'Pseudo-load coefficients'!T294</f>
        <v>1.163653936983337E-2</v>
      </c>
      <c r="U105" s="193">
        <f>'Pseudo-load coefficients'!U294</f>
        <v>1.0587312079975646E-2</v>
      </c>
      <c r="V105" s="193">
        <f>'Pseudo-load coefficients'!V294</f>
        <v>1.0587312079975646E-2</v>
      </c>
      <c r="W105" s="193">
        <f>'Pseudo-load coefficients'!W294</f>
        <v>1.0587312079975646E-2</v>
      </c>
      <c r="X105" s="193">
        <f>'Pseudo-load coefficients'!X294</f>
        <v>1.0587312079975646E-2</v>
      </c>
      <c r="Y105" s="193">
        <f>'Pseudo-load coefficients'!Y294</f>
        <v>1.0587312079975646E-2</v>
      </c>
      <c r="Z105" s="193">
        <f>'Pseudo-load coefficients'!Z294</f>
        <v>1.0587312079975646E-2</v>
      </c>
      <c r="AA105" s="193">
        <f>'Pseudo-load coefficients'!AA294</f>
        <v>1.0587312079975646E-2</v>
      </c>
      <c r="AB105" s="193">
        <f>'Pseudo-load coefficients'!AB294</f>
        <v>1.0587312079975646E-2</v>
      </c>
    </row>
    <row r="106" spans="3:28" x14ac:dyDescent="0.25">
      <c r="C106" s="32"/>
      <c r="E106" s="32"/>
      <c r="F106" s="191" t="s">
        <v>190</v>
      </c>
      <c r="G106" s="28" t="s">
        <v>282</v>
      </c>
      <c r="J106" s="194">
        <f>'Pseudo-load coefficients'!J294</f>
        <v>1.4805259537586315E-2</v>
      </c>
      <c r="K106" s="194">
        <f>'Pseudo-load coefficients'!K294</f>
        <v>1.4805259537586315E-2</v>
      </c>
      <c r="L106" s="194">
        <f>'Pseudo-load coefficients'!L294</f>
        <v>1.7196383882860215E-2</v>
      </c>
      <c r="M106" s="194">
        <f>'Pseudo-load coefficients'!M294</f>
        <v>1.7196383882860215E-2</v>
      </c>
      <c r="N106" s="194">
        <f>'Pseudo-load coefficients'!N294</f>
        <v>1.3293274232446117E-2</v>
      </c>
      <c r="O106" s="194">
        <f>'Pseudo-load coefficients'!O294</f>
        <v>1.1371168633511621E-2</v>
      </c>
      <c r="P106" s="194">
        <f>'Pseudo-load coefficients'!P294</f>
        <v>1.1541859739695104E-2</v>
      </c>
      <c r="Q106" s="194">
        <f>'Pseudo-load coefficients'!Q294</f>
        <v>1.3293274232446117E-2</v>
      </c>
      <c r="R106" s="194">
        <f>'Pseudo-load coefficients'!R294</f>
        <v>1.1371168633511621E-2</v>
      </c>
      <c r="S106" s="194">
        <f>'Pseudo-load coefficients'!S294</f>
        <v>1.1541859739695104E-2</v>
      </c>
      <c r="T106" s="194">
        <f>'Pseudo-load coefficients'!T294</f>
        <v>1.163653936983337E-2</v>
      </c>
      <c r="U106" s="194">
        <f>'Pseudo-load coefficients'!U294</f>
        <v>1.0587312079975646E-2</v>
      </c>
      <c r="V106" s="194">
        <f>'Pseudo-load coefficients'!V294</f>
        <v>1.0587312079975646E-2</v>
      </c>
      <c r="W106" s="194">
        <f>'Pseudo-load coefficients'!W294</f>
        <v>1.0587312079975646E-2</v>
      </c>
      <c r="X106" s="194">
        <f>'Pseudo-load coefficients'!X294</f>
        <v>1.0587312079975646E-2</v>
      </c>
      <c r="Y106" s="194">
        <f>'Pseudo-load coefficients'!Y294</f>
        <v>1.0587312079975646E-2</v>
      </c>
      <c r="Z106" s="194">
        <f>'Pseudo-load coefficients'!Z294</f>
        <v>1.0587312079975646E-2</v>
      </c>
      <c r="AA106" s="194">
        <f>'Pseudo-load coefficients'!AA294</f>
        <v>1.0587312079975646E-2</v>
      </c>
      <c r="AB106" s="194">
        <f>'Pseudo-load coefficients'!AB294</f>
        <v>1.0587312079975646E-2</v>
      </c>
    </row>
    <row r="107" spans="3:28" x14ac:dyDescent="0.25">
      <c r="C107" s="32"/>
      <c r="E107" s="32"/>
      <c r="F107" s="191" t="s">
        <v>191</v>
      </c>
      <c r="G107" s="28" t="s">
        <v>282</v>
      </c>
      <c r="J107" s="194">
        <f>'Pseudo-load coefficients'!J295</f>
        <v>0</v>
      </c>
      <c r="K107" s="194">
        <f>'Pseudo-load coefficients'!K295</f>
        <v>0</v>
      </c>
      <c r="L107" s="194">
        <f>'Pseudo-load coefficients'!L295</f>
        <v>0</v>
      </c>
      <c r="M107" s="194">
        <f>'Pseudo-load coefficients'!M295</f>
        <v>0</v>
      </c>
      <c r="N107" s="194">
        <f>'Pseudo-load coefficients'!N295</f>
        <v>0</v>
      </c>
      <c r="O107" s="194">
        <f>'Pseudo-load coefficients'!O295</f>
        <v>0</v>
      </c>
      <c r="P107" s="194">
        <f>'Pseudo-load coefficients'!P295</f>
        <v>0</v>
      </c>
      <c r="Q107" s="194">
        <f>'Pseudo-load coefficients'!Q295</f>
        <v>0</v>
      </c>
      <c r="R107" s="194">
        <f>'Pseudo-load coefficients'!R295</f>
        <v>0</v>
      </c>
      <c r="S107" s="194">
        <f>'Pseudo-load coefficients'!S295</f>
        <v>0</v>
      </c>
      <c r="T107" s="194">
        <f>'Pseudo-load coefficients'!T295</f>
        <v>0</v>
      </c>
      <c r="U107" s="194">
        <f>'Pseudo-load coefficients'!U295</f>
        <v>0</v>
      </c>
      <c r="V107" s="194">
        <f>'Pseudo-load coefficients'!V295</f>
        <v>0</v>
      </c>
      <c r="W107" s="194">
        <f>'Pseudo-load coefficients'!W295</f>
        <v>0</v>
      </c>
      <c r="X107" s="194">
        <f>'Pseudo-load coefficients'!X295</f>
        <v>0</v>
      </c>
      <c r="Y107" s="194">
        <f>'Pseudo-load coefficients'!Y295</f>
        <v>0</v>
      </c>
      <c r="Z107" s="194">
        <f>'Pseudo-load coefficients'!Z295</f>
        <v>0</v>
      </c>
      <c r="AA107" s="194">
        <f>'Pseudo-load coefficients'!AA295</f>
        <v>0</v>
      </c>
      <c r="AB107" s="194">
        <f>'Pseudo-load coefficients'!AB295</f>
        <v>0</v>
      </c>
    </row>
    <row r="108" spans="3:28" x14ac:dyDescent="0.25">
      <c r="C108" s="32"/>
      <c r="E108" s="32"/>
      <c r="F108" s="191" t="s">
        <v>192</v>
      </c>
      <c r="G108" s="28" t="s">
        <v>282</v>
      </c>
      <c r="J108" s="194">
        <f>'Pseudo-load coefficients'!J296</f>
        <v>0</v>
      </c>
      <c r="K108" s="194">
        <f>'Pseudo-load coefficients'!K296</f>
        <v>0</v>
      </c>
      <c r="L108" s="194">
        <f>'Pseudo-load coefficients'!L296</f>
        <v>0</v>
      </c>
      <c r="M108" s="194">
        <f>'Pseudo-load coefficients'!M296</f>
        <v>0</v>
      </c>
      <c r="N108" s="194">
        <f>'Pseudo-load coefficients'!N296</f>
        <v>0</v>
      </c>
      <c r="O108" s="194">
        <f>'Pseudo-load coefficients'!O296</f>
        <v>0</v>
      </c>
      <c r="P108" s="194">
        <f>'Pseudo-load coefficients'!P296</f>
        <v>0</v>
      </c>
      <c r="Q108" s="194">
        <f>'Pseudo-load coefficients'!Q296</f>
        <v>0</v>
      </c>
      <c r="R108" s="194">
        <f>'Pseudo-load coefficients'!R296</f>
        <v>0</v>
      </c>
      <c r="S108" s="194">
        <f>'Pseudo-load coefficients'!S296</f>
        <v>0</v>
      </c>
      <c r="T108" s="194">
        <f>'Pseudo-load coefficients'!T296</f>
        <v>0</v>
      </c>
      <c r="U108" s="194">
        <f>'Pseudo-load coefficients'!U296</f>
        <v>0</v>
      </c>
      <c r="V108" s="194">
        <f>'Pseudo-load coefficients'!V296</f>
        <v>0</v>
      </c>
      <c r="W108" s="194">
        <f>'Pseudo-load coefficients'!W296</f>
        <v>0</v>
      </c>
      <c r="X108" s="194">
        <f>'Pseudo-load coefficients'!X296</f>
        <v>0</v>
      </c>
      <c r="Y108" s="194">
        <f>'Pseudo-load coefficients'!Y296</f>
        <v>0</v>
      </c>
      <c r="Z108" s="194">
        <f>'Pseudo-load coefficients'!Z296</f>
        <v>0</v>
      </c>
      <c r="AA108" s="194">
        <f>'Pseudo-load coefficients'!AA296</f>
        <v>0</v>
      </c>
      <c r="AB108" s="194">
        <f>'Pseudo-load coefficients'!AB296</f>
        <v>0</v>
      </c>
    </row>
    <row r="109" spans="3:28" x14ac:dyDescent="0.25">
      <c r="C109" s="32"/>
      <c r="E109" s="32"/>
      <c r="F109" s="191" t="s">
        <v>193</v>
      </c>
      <c r="G109" s="28" t="s">
        <v>282</v>
      </c>
      <c r="J109" s="194">
        <f>'Pseudo-load coefficients'!J297</f>
        <v>1.4805259537586315E-2</v>
      </c>
      <c r="K109" s="194">
        <f>'Pseudo-load coefficients'!K297</f>
        <v>1.4805259537586315E-2</v>
      </c>
      <c r="L109" s="194">
        <f>'Pseudo-load coefficients'!L297</f>
        <v>1.7196383882860215E-2</v>
      </c>
      <c r="M109" s="194">
        <f>'Pseudo-load coefficients'!M297</f>
        <v>1.7196383882860215E-2</v>
      </c>
      <c r="N109" s="194">
        <f>'Pseudo-load coefficients'!N297</f>
        <v>1.3293274232446117E-2</v>
      </c>
      <c r="O109" s="194">
        <f>'Pseudo-load coefficients'!O297</f>
        <v>1.1371168633511621E-2</v>
      </c>
      <c r="P109" s="194">
        <f>'Pseudo-load coefficients'!P297</f>
        <v>1.1541859739695104E-2</v>
      </c>
      <c r="Q109" s="194">
        <f>'Pseudo-load coefficients'!Q297</f>
        <v>1.3293274232446117E-2</v>
      </c>
      <c r="R109" s="194">
        <f>'Pseudo-load coefficients'!R297</f>
        <v>1.1371168633511621E-2</v>
      </c>
      <c r="S109" s="194">
        <f>'Pseudo-load coefficients'!S297</f>
        <v>1.1541859739695104E-2</v>
      </c>
      <c r="T109" s="194">
        <f>'Pseudo-load coefficients'!T297</f>
        <v>1.163653936983337E-2</v>
      </c>
      <c r="U109" s="194">
        <f>'Pseudo-load coefficients'!U297</f>
        <v>1.0587312079975646E-2</v>
      </c>
      <c r="V109" s="194">
        <f>'Pseudo-load coefficients'!V297</f>
        <v>1.0587312079975646E-2</v>
      </c>
      <c r="W109" s="194">
        <f>'Pseudo-load coefficients'!W297</f>
        <v>1.0587312079975646E-2</v>
      </c>
      <c r="X109" s="194">
        <f>'Pseudo-load coefficients'!X297</f>
        <v>1.0587312079975646E-2</v>
      </c>
      <c r="Y109" s="194">
        <f>'Pseudo-load coefficients'!Y297</f>
        <v>1.0587312079975646E-2</v>
      </c>
      <c r="Z109" s="194">
        <f>'Pseudo-load coefficients'!Z297</f>
        <v>1.0587312079975646E-2</v>
      </c>
      <c r="AA109" s="194">
        <f>'Pseudo-load coefficients'!AA297</f>
        <v>1.0587312079975646E-2</v>
      </c>
      <c r="AB109" s="194">
        <f>'Pseudo-load coefficients'!AB297</f>
        <v>1.0587312079975646E-2</v>
      </c>
    </row>
    <row r="110" spans="3:28" x14ac:dyDescent="0.25">
      <c r="C110" s="32"/>
      <c r="E110" s="32"/>
      <c r="F110" s="191" t="s">
        <v>194</v>
      </c>
      <c r="G110" s="28" t="s">
        <v>282</v>
      </c>
      <c r="J110" s="194">
        <f>'Pseudo-load coefficients'!J298</f>
        <v>4.1322546283744134E-2</v>
      </c>
      <c r="K110" s="194">
        <f>'Pseudo-load coefficients'!K298</f>
        <v>4.1322546283744134E-2</v>
      </c>
      <c r="L110" s="194">
        <f>'Pseudo-load coefficients'!L298</f>
        <v>4.7996346643469308E-2</v>
      </c>
      <c r="M110" s="194">
        <f>'Pseudo-load coefficients'!M298</f>
        <v>4.7996346643469308E-2</v>
      </c>
      <c r="N110" s="194">
        <f>'Pseudo-load coefficients'!N298</f>
        <v>3.7102486338602317E-2</v>
      </c>
      <c r="O110" s="194">
        <f>'Pseudo-load coefficients'!O298</f>
        <v>3.1737751098900924E-2</v>
      </c>
      <c r="P110" s="194">
        <f>'Pseudo-load coefficients'!P298</f>
        <v>3.2214162276805902E-2</v>
      </c>
      <c r="Q110" s="194">
        <f>'Pseudo-load coefficients'!Q298</f>
        <v>3.7102486338602317E-2</v>
      </c>
      <c r="R110" s="194">
        <f>'Pseudo-load coefficients'!R298</f>
        <v>3.1737751098900924E-2</v>
      </c>
      <c r="S110" s="194">
        <f>'Pseudo-load coefficients'!S298</f>
        <v>3.2214162276805902E-2</v>
      </c>
      <c r="T110" s="194">
        <f>'Pseudo-load coefficients'!T298</f>
        <v>3.2478419947438684E-2</v>
      </c>
      <c r="U110" s="194">
        <f>'Pseudo-load coefficients'!U298</f>
        <v>2.9549950970772461E-2</v>
      </c>
      <c r="V110" s="194">
        <f>'Pseudo-load coefficients'!V298</f>
        <v>2.9549950970772461E-2</v>
      </c>
      <c r="W110" s="194">
        <f>'Pseudo-load coefficients'!W298</f>
        <v>2.9549950970772461E-2</v>
      </c>
      <c r="X110" s="194">
        <f>'Pseudo-load coefficients'!X298</f>
        <v>2.9549950970772461E-2</v>
      </c>
      <c r="Y110" s="194">
        <f>'Pseudo-load coefficients'!Y298</f>
        <v>2.9549950970772461E-2</v>
      </c>
      <c r="Z110" s="194">
        <f>'Pseudo-load coefficients'!Z298</f>
        <v>2.9549950970772461E-2</v>
      </c>
      <c r="AA110" s="194">
        <f>'Pseudo-load coefficients'!AA298</f>
        <v>2.9549950970772461E-2</v>
      </c>
      <c r="AB110" s="194">
        <f>'Pseudo-load coefficients'!AB298</f>
        <v>2.9549950970772461E-2</v>
      </c>
    </row>
    <row r="111" spans="3:28" x14ac:dyDescent="0.25">
      <c r="C111" s="32"/>
      <c r="E111" s="32"/>
      <c r="F111" s="191" t="s">
        <v>195</v>
      </c>
      <c r="G111" s="28" t="s">
        <v>282</v>
      </c>
      <c r="J111" s="194">
        <f>'Pseudo-load coefficients'!J299</f>
        <v>0</v>
      </c>
      <c r="K111" s="194">
        <f>'Pseudo-load coefficients'!K299</f>
        <v>0</v>
      </c>
      <c r="L111" s="194">
        <f>'Pseudo-load coefficients'!L299</f>
        <v>0</v>
      </c>
      <c r="M111" s="194">
        <f>'Pseudo-load coefficients'!M299</f>
        <v>0</v>
      </c>
      <c r="N111" s="194">
        <f>'Pseudo-load coefficients'!N299</f>
        <v>0</v>
      </c>
      <c r="O111" s="194">
        <f>'Pseudo-load coefficients'!O299</f>
        <v>0</v>
      </c>
      <c r="P111" s="194">
        <f>'Pseudo-load coefficients'!P299</f>
        <v>0</v>
      </c>
      <c r="Q111" s="194">
        <f>'Pseudo-load coefficients'!Q299</f>
        <v>0</v>
      </c>
      <c r="R111" s="194">
        <f>'Pseudo-load coefficients'!R299</f>
        <v>0</v>
      </c>
      <c r="S111" s="194">
        <f>'Pseudo-load coefficients'!S299</f>
        <v>0</v>
      </c>
      <c r="T111" s="194">
        <f>'Pseudo-load coefficients'!T299</f>
        <v>0</v>
      </c>
      <c r="U111" s="194">
        <f>'Pseudo-load coefficients'!U299</f>
        <v>0</v>
      </c>
      <c r="V111" s="194">
        <f>'Pseudo-load coefficients'!V299</f>
        <v>0</v>
      </c>
      <c r="W111" s="194">
        <f>'Pseudo-load coefficients'!W299</f>
        <v>0</v>
      </c>
      <c r="X111" s="194">
        <f>'Pseudo-load coefficients'!X299</f>
        <v>0</v>
      </c>
      <c r="Y111" s="194">
        <f>'Pseudo-load coefficients'!Y299</f>
        <v>0</v>
      </c>
      <c r="Z111" s="194">
        <f>'Pseudo-load coefficients'!Z299</f>
        <v>0</v>
      </c>
      <c r="AA111" s="194">
        <f>'Pseudo-load coefficients'!AA299</f>
        <v>0</v>
      </c>
      <c r="AB111" s="194">
        <f>'Pseudo-load coefficients'!AB299</f>
        <v>0</v>
      </c>
    </row>
    <row r="112" spans="3:28" x14ac:dyDescent="0.25">
      <c r="C112" s="32"/>
      <c r="E112" s="32"/>
      <c r="F112" s="191" t="s">
        <v>196</v>
      </c>
      <c r="G112" s="28" t="s">
        <v>282</v>
      </c>
      <c r="J112" s="194">
        <f>'Pseudo-load coefficients'!J300</f>
        <v>4.1322546283744134E-2</v>
      </c>
      <c r="K112" s="194">
        <f>'Pseudo-load coefficients'!K300</f>
        <v>4.1322546283744134E-2</v>
      </c>
      <c r="L112" s="194">
        <f>'Pseudo-load coefficients'!L300</f>
        <v>4.7996346643469308E-2</v>
      </c>
      <c r="M112" s="194">
        <f>'Pseudo-load coefficients'!M300</f>
        <v>4.7996346643469308E-2</v>
      </c>
      <c r="N112" s="194">
        <f>'Pseudo-load coefficients'!N300</f>
        <v>3.7102486338602317E-2</v>
      </c>
      <c r="O112" s="194">
        <f>'Pseudo-load coefficients'!O300</f>
        <v>3.1737751098900924E-2</v>
      </c>
      <c r="P112" s="194">
        <f>'Pseudo-load coefficients'!P300</f>
        <v>3.2214162276805902E-2</v>
      </c>
      <c r="Q112" s="194">
        <f>'Pseudo-load coefficients'!Q300</f>
        <v>3.7102486338602317E-2</v>
      </c>
      <c r="R112" s="194">
        <f>'Pseudo-load coefficients'!R300</f>
        <v>3.1737751098900924E-2</v>
      </c>
      <c r="S112" s="194">
        <f>'Pseudo-load coefficients'!S300</f>
        <v>3.2214162276805902E-2</v>
      </c>
      <c r="T112" s="194">
        <f>'Pseudo-load coefficients'!T300</f>
        <v>3.2478419947438684E-2</v>
      </c>
      <c r="U112" s="194">
        <f>'Pseudo-load coefficients'!U300</f>
        <v>2.9549950970772461E-2</v>
      </c>
      <c r="V112" s="194">
        <f>'Pseudo-load coefficients'!V300</f>
        <v>2.9549950970772461E-2</v>
      </c>
      <c r="W112" s="194">
        <f>'Pseudo-load coefficients'!W300</f>
        <v>2.9549950970772461E-2</v>
      </c>
      <c r="X112" s="194">
        <f>'Pseudo-load coefficients'!X300</f>
        <v>2.9549950970772461E-2</v>
      </c>
      <c r="Y112" s="194">
        <f>'Pseudo-load coefficients'!Y300</f>
        <v>2.9549950970772461E-2</v>
      </c>
      <c r="Z112" s="194">
        <f>'Pseudo-load coefficients'!Z300</f>
        <v>2.9549950970772461E-2</v>
      </c>
      <c r="AA112" s="194">
        <f>'Pseudo-load coefficients'!AA300</f>
        <v>2.9549950970772461E-2</v>
      </c>
      <c r="AB112" s="194">
        <f>'Pseudo-load coefficients'!AB300</f>
        <v>2.9549950970772461E-2</v>
      </c>
    </row>
    <row r="113" spans="2:30" x14ac:dyDescent="0.25">
      <c r="C113" s="32"/>
      <c r="E113" s="32"/>
      <c r="F113" s="191" t="s">
        <v>197</v>
      </c>
      <c r="G113" s="28" t="s">
        <v>282</v>
      </c>
      <c r="J113" s="194">
        <f>'Pseudo-load coefficients'!J301</f>
        <v>4.1322546283744134E-2</v>
      </c>
      <c r="K113" s="194">
        <f>'Pseudo-load coefficients'!K301</f>
        <v>4.1322546283744134E-2</v>
      </c>
      <c r="L113" s="194">
        <f>'Pseudo-load coefficients'!L301</f>
        <v>4.7996346643469308E-2</v>
      </c>
      <c r="M113" s="194">
        <f>'Pseudo-load coefficients'!M301</f>
        <v>4.7996346643469308E-2</v>
      </c>
      <c r="N113" s="194">
        <f>'Pseudo-load coefficients'!N301</f>
        <v>3.7102486338602317E-2</v>
      </c>
      <c r="O113" s="194">
        <f>'Pseudo-load coefficients'!O301</f>
        <v>3.1737751098900924E-2</v>
      </c>
      <c r="P113" s="194">
        <f>'Pseudo-load coefficients'!P301</f>
        <v>3.2214162276805902E-2</v>
      </c>
      <c r="Q113" s="194">
        <f>'Pseudo-load coefficients'!Q301</f>
        <v>3.7102486338602317E-2</v>
      </c>
      <c r="R113" s="194">
        <f>'Pseudo-load coefficients'!R301</f>
        <v>3.1737751098900924E-2</v>
      </c>
      <c r="S113" s="194">
        <f>'Pseudo-load coefficients'!S301</f>
        <v>3.2214162276805902E-2</v>
      </c>
      <c r="T113" s="194">
        <f>'Pseudo-load coefficients'!T301</f>
        <v>3.2478419947438684E-2</v>
      </c>
      <c r="U113" s="194">
        <f>'Pseudo-load coefficients'!U301</f>
        <v>2.9549950970772461E-2</v>
      </c>
      <c r="V113" s="194">
        <f>'Pseudo-load coefficients'!V301</f>
        <v>2.9549950970772461E-2</v>
      </c>
      <c r="W113" s="194">
        <f>'Pseudo-load coefficients'!W301</f>
        <v>2.9549950970772461E-2</v>
      </c>
      <c r="X113" s="194">
        <f>'Pseudo-load coefficients'!X301</f>
        <v>2.9549950970772461E-2</v>
      </c>
      <c r="Y113" s="194">
        <f>'Pseudo-load coefficients'!Y301</f>
        <v>2.9549950970772461E-2</v>
      </c>
      <c r="Z113" s="194">
        <f>'Pseudo-load coefficients'!Z301</f>
        <v>2.9549950970772461E-2</v>
      </c>
      <c r="AA113" s="194">
        <f>'Pseudo-load coefficients'!AA301</f>
        <v>2.9549950970772461E-2</v>
      </c>
      <c r="AB113" s="194">
        <f>'Pseudo-load coefficients'!AB301</f>
        <v>2.9549950970772461E-2</v>
      </c>
    </row>
    <row r="114" spans="2:30" x14ac:dyDescent="0.25">
      <c r="C114" s="32"/>
      <c r="E114" s="32"/>
      <c r="F114" s="192" t="s">
        <v>198</v>
      </c>
      <c r="G114" s="67" t="s">
        <v>282</v>
      </c>
      <c r="H114" s="37"/>
      <c r="I114" s="37"/>
      <c r="J114" s="195">
        <f>'Pseudo-load coefficients'!J302</f>
        <v>4.1322546283744134E-2</v>
      </c>
      <c r="K114" s="195">
        <f>'Pseudo-load coefficients'!K302</f>
        <v>4.1322546283744134E-2</v>
      </c>
      <c r="L114" s="195">
        <f>'Pseudo-load coefficients'!L302</f>
        <v>4.7996346643469308E-2</v>
      </c>
      <c r="M114" s="195">
        <f>'Pseudo-load coefficients'!M302</f>
        <v>4.7996346643469308E-2</v>
      </c>
      <c r="N114" s="195">
        <f>'Pseudo-load coefficients'!N302</f>
        <v>3.7102486338602317E-2</v>
      </c>
      <c r="O114" s="195">
        <f>'Pseudo-load coefficients'!O302</f>
        <v>3.1737751098900924E-2</v>
      </c>
      <c r="P114" s="195">
        <f>'Pseudo-load coefficients'!P302</f>
        <v>3.2214162276805902E-2</v>
      </c>
      <c r="Q114" s="195">
        <f>'Pseudo-load coefficients'!Q302</f>
        <v>3.7102486338602317E-2</v>
      </c>
      <c r="R114" s="195">
        <f>'Pseudo-load coefficients'!R302</f>
        <v>3.1737751098900924E-2</v>
      </c>
      <c r="S114" s="195">
        <f>'Pseudo-load coefficients'!S302</f>
        <v>3.2214162276805902E-2</v>
      </c>
      <c r="T114" s="195">
        <f>'Pseudo-load coefficients'!T302</f>
        <v>3.2478419947438684E-2</v>
      </c>
      <c r="U114" s="195">
        <f>'Pseudo-load coefficients'!U302</f>
        <v>2.9549950970772461E-2</v>
      </c>
      <c r="V114" s="195">
        <f>'Pseudo-load coefficients'!V302</f>
        <v>2.9549950970772461E-2</v>
      </c>
      <c r="W114" s="195">
        <f>'Pseudo-load coefficients'!W302</f>
        <v>2.9549950970772461E-2</v>
      </c>
      <c r="X114" s="195">
        <f>'Pseudo-load coefficients'!X302</f>
        <v>2.9549950970772461E-2</v>
      </c>
      <c r="Y114" s="195">
        <f>'Pseudo-load coefficients'!Y302</f>
        <v>2.9549950970772461E-2</v>
      </c>
      <c r="Z114" s="195">
        <f>'Pseudo-load coefficients'!Z302</f>
        <v>2.9549950970772461E-2</v>
      </c>
      <c r="AA114" s="195">
        <f>'Pseudo-load coefficients'!AA302</f>
        <v>2.9549950970772461E-2</v>
      </c>
      <c r="AB114" s="195">
        <f>'Pseudo-load coefficients'!AB302</f>
        <v>2.9549950970772461E-2</v>
      </c>
    </row>
    <row r="115" spans="2:30" x14ac:dyDescent="0.25">
      <c r="C115" s="32"/>
      <c r="D115" s="32"/>
      <c r="E115" s="32"/>
      <c r="J115" s="163"/>
      <c r="K115" s="163"/>
      <c r="L115" s="163"/>
      <c r="M115" s="163"/>
      <c r="N115" s="163"/>
      <c r="O115" s="163"/>
      <c r="P115" s="163"/>
      <c r="Q115" s="163"/>
      <c r="R115" s="163"/>
      <c r="S115" s="163"/>
      <c r="T115" s="163"/>
      <c r="U115" s="163"/>
      <c r="V115" s="163"/>
      <c r="W115" s="163"/>
      <c r="X115" s="163"/>
      <c r="Y115" s="163"/>
      <c r="Z115" s="163"/>
      <c r="AA115" s="163"/>
      <c r="AB115" s="163"/>
    </row>
    <row r="116" spans="2:30" x14ac:dyDescent="0.25">
      <c r="B116" s="30" t="s">
        <v>618</v>
      </c>
      <c r="C116" s="30"/>
      <c r="D116" s="30"/>
      <c r="E116" s="30"/>
      <c r="F116" s="30"/>
      <c r="G116" s="30"/>
      <c r="H116" s="30"/>
      <c r="I116" s="30"/>
      <c r="J116" s="184"/>
      <c r="K116" s="184"/>
      <c r="L116" s="184"/>
      <c r="M116" s="184"/>
      <c r="N116" s="184"/>
      <c r="O116" s="184"/>
      <c r="P116" s="184"/>
      <c r="Q116" s="184"/>
      <c r="R116" s="184"/>
      <c r="S116" s="184"/>
      <c r="T116" s="184"/>
      <c r="U116" s="184"/>
      <c r="V116" s="184"/>
      <c r="W116" s="184"/>
      <c r="X116" s="184"/>
      <c r="Y116" s="184"/>
      <c r="Z116" s="184"/>
      <c r="AA116" s="184"/>
      <c r="AB116" s="184"/>
      <c r="AC116" s="30"/>
      <c r="AD116" s="30"/>
    </row>
    <row r="117" spans="2:30" x14ac:dyDescent="0.25">
      <c r="J117" s="89"/>
      <c r="K117" s="89"/>
      <c r="L117" s="89"/>
      <c r="M117" s="89"/>
      <c r="N117" s="89"/>
      <c r="O117" s="89"/>
      <c r="P117" s="89"/>
      <c r="Q117" s="89"/>
      <c r="R117" s="89"/>
      <c r="S117" s="89"/>
      <c r="T117" s="89"/>
      <c r="U117" s="89"/>
      <c r="V117" s="89"/>
      <c r="W117" s="89"/>
      <c r="X117" s="89"/>
      <c r="Y117" s="89"/>
      <c r="Z117" s="89"/>
      <c r="AA117" s="89"/>
      <c r="AB117" s="89"/>
    </row>
    <row r="118" spans="2:30" x14ac:dyDescent="0.25">
      <c r="C118" s="31" t="str">
        <f ca="1">INDEX('Version control'!$H$34:$H$57,MATCH($A$1,'Version control'!$F$34:$F$57,0),1)&amp;"-B: Yardstick charges"</f>
        <v>Section 109-B: Yardstick charges</v>
      </c>
      <c r="D118" s="31"/>
      <c r="E118" s="31"/>
      <c r="F118" s="31"/>
      <c r="G118" s="31"/>
      <c r="H118" s="31"/>
      <c r="I118" s="31"/>
      <c r="J118" s="198"/>
      <c r="K118" s="198"/>
      <c r="L118" s="198"/>
      <c r="M118" s="198"/>
      <c r="N118" s="198"/>
      <c r="O118" s="198"/>
      <c r="P118" s="198"/>
      <c r="Q118" s="198"/>
      <c r="R118" s="198"/>
      <c r="S118" s="198"/>
      <c r="T118" s="198"/>
      <c r="U118" s="198"/>
      <c r="V118" s="198"/>
      <c r="W118" s="198"/>
      <c r="X118" s="198"/>
      <c r="Y118" s="198"/>
      <c r="Z118" s="198"/>
      <c r="AA118" s="198"/>
      <c r="AB118" s="198"/>
      <c r="AC118" s="31"/>
      <c r="AD118" s="31"/>
    </row>
    <row r="119" spans="2:30" x14ac:dyDescent="0.25">
      <c r="C119" s="32"/>
      <c r="D119" s="32"/>
      <c r="E119" s="32"/>
      <c r="J119" s="89"/>
      <c r="K119" s="89"/>
      <c r="L119" s="89"/>
      <c r="M119" s="89"/>
      <c r="N119" s="89"/>
      <c r="O119" s="89"/>
      <c r="P119" s="89"/>
      <c r="Q119" s="89"/>
      <c r="R119" s="89"/>
      <c r="S119" s="89"/>
      <c r="T119" s="89"/>
      <c r="U119" s="89"/>
      <c r="V119" s="89"/>
      <c r="W119" s="89"/>
      <c r="X119" s="89"/>
      <c r="Y119" s="89"/>
      <c r="Z119" s="89"/>
      <c r="AA119" s="89"/>
      <c r="AB119" s="89"/>
    </row>
    <row r="120" spans="2:30" x14ac:dyDescent="0.25">
      <c r="D120" s="29" t="s">
        <v>619</v>
      </c>
      <c r="E120" s="32"/>
      <c r="F120" s="32"/>
      <c r="J120" s="163"/>
      <c r="K120" s="163"/>
      <c r="L120" s="163"/>
      <c r="M120" s="163"/>
      <c r="N120" s="163"/>
      <c r="O120" s="163"/>
      <c r="P120" s="163"/>
      <c r="Q120" s="163"/>
      <c r="R120" s="163"/>
      <c r="S120" s="163"/>
      <c r="T120" s="163"/>
      <c r="U120" s="163"/>
      <c r="V120" s="163"/>
      <c r="W120" s="163"/>
      <c r="X120" s="163"/>
      <c r="Y120" s="163"/>
      <c r="Z120" s="163"/>
      <c r="AA120" s="163"/>
      <c r="AB120" s="163"/>
    </row>
    <row r="121" spans="2:30" x14ac:dyDescent="0.25">
      <c r="D121" s="32"/>
      <c r="E121" s="32"/>
      <c r="F121" s="32"/>
      <c r="I121" s="3" t="s">
        <v>153</v>
      </c>
      <c r="J121" s="163"/>
      <c r="K121" s="163"/>
      <c r="L121" s="163"/>
      <c r="M121" s="163"/>
      <c r="N121" s="163"/>
      <c r="O121" s="163"/>
      <c r="P121" s="163"/>
      <c r="Q121" s="163"/>
      <c r="R121" s="163"/>
      <c r="S121" s="163"/>
      <c r="T121" s="163"/>
      <c r="U121" s="163"/>
      <c r="V121" s="163"/>
      <c r="W121" s="163"/>
      <c r="X121" s="163"/>
      <c r="Y121" s="163"/>
      <c r="Z121" s="163"/>
      <c r="AA121" s="163"/>
      <c r="AB121" s="163"/>
      <c r="AD121" t="s">
        <v>614</v>
      </c>
    </row>
    <row r="122" spans="2:30" x14ac:dyDescent="0.25">
      <c r="E122" s="32" t="s">
        <v>620</v>
      </c>
      <c r="J122" s="89"/>
      <c r="K122" s="89"/>
      <c r="L122" s="89"/>
      <c r="M122" s="89"/>
      <c r="N122" s="89"/>
      <c r="O122" s="89"/>
      <c r="P122" s="89"/>
      <c r="Q122" s="89"/>
      <c r="R122" s="89"/>
      <c r="S122" s="89"/>
      <c r="T122" s="89"/>
      <c r="U122" s="89"/>
      <c r="V122" s="89"/>
      <c r="W122" s="89"/>
      <c r="X122" s="89"/>
      <c r="Y122" s="89"/>
      <c r="Z122" s="89"/>
      <c r="AA122" s="89"/>
      <c r="AB122" s="89"/>
    </row>
    <row r="123" spans="2:30" x14ac:dyDescent="0.25">
      <c r="E123" s="32"/>
      <c r="F123" s="190" t="s">
        <v>188</v>
      </c>
      <c r="G123" s="23" t="s">
        <v>268</v>
      </c>
      <c r="H123" s="269"/>
      <c r="I123" s="269"/>
      <c r="J123" s="281">
        <f t="shared" ref="J123:AB123" si="0">hundred * $H18 * J55 / $H43 * J$78 * (1 - J67) / hours_in_year</f>
        <v>0</v>
      </c>
      <c r="K123" s="281">
        <f t="shared" si="0"/>
        <v>0</v>
      </c>
      <c r="L123" s="281">
        <f t="shared" si="0"/>
        <v>0</v>
      </c>
      <c r="M123" s="281">
        <f t="shared" si="0"/>
        <v>0</v>
      </c>
      <c r="N123" s="281">
        <f t="shared" si="0"/>
        <v>0</v>
      </c>
      <c r="O123" s="281">
        <f t="shared" si="0"/>
        <v>0</v>
      </c>
      <c r="P123" s="281">
        <f t="shared" si="0"/>
        <v>0</v>
      </c>
      <c r="Q123" s="281">
        <f t="shared" ref="Q123:S123" si="1">hundred * $H18 * Q55 / $H43 * Q$78 * (1 - Q67) / hours_in_year</f>
        <v>0</v>
      </c>
      <c r="R123" s="281">
        <f t="shared" si="1"/>
        <v>0</v>
      </c>
      <c r="S123" s="281">
        <f t="shared" si="1"/>
        <v>0</v>
      </c>
      <c r="T123" s="281">
        <f t="shared" si="0"/>
        <v>0</v>
      </c>
      <c r="U123" s="281">
        <f t="shared" si="0"/>
        <v>0</v>
      </c>
      <c r="V123" s="281">
        <f t="shared" si="0"/>
        <v>0</v>
      </c>
      <c r="W123" s="281">
        <f t="shared" si="0"/>
        <v>0</v>
      </c>
      <c r="X123" s="281">
        <f t="shared" si="0"/>
        <v>0</v>
      </c>
      <c r="Y123" s="281">
        <f t="shared" si="0"/>
        <v>0</v>
      </c>
      <c r="Z123" s="281">
        <f t="shared" si="0"/>
        <v>0</v>
      </c>
      <c r="AA123" s="281">
        <f t="shared" si="0"/>
        <v>0</v>
      </c>
      <c r="AB123" s="281">
        <f t="shared" si="0"/>
        <v>0</v>
      </c>
      <c r="AC123" s="271"/>
      <c r="AD123" s="271"/>
    </row>
    <row r="124" spans="2:30" x14ac:dyDescent="0.25">
      <c r="E124" s="32"/>
      <c r="F124" s="191" t="s">
        <v>190</v>
      </c>
      <c r="G124" t="s">
        <v>268</v>
      </c>
      <c r="H124" s="271"/>
      <c r="I124" s="271"/>
      <c r="J124" s="282">
        <f t="shared" ref="J124:AB124" si="2">hundred * $H19 * J56 / $H44 * J$78 * (1 - J68) / hours_in_year</f>
        <v>0</v>
      </c>
      <c r="K124" s="282">
        <f t="shared" si="2"/>
        <v>0</v>
      </c>
      <c r="L124" s="282">
        <f t="shared" si="2"/>
        <v>0</v>
      </c>
      <c r="M124" s="282">
        <f t="shared" si="2"/>
        <v>0</v>
      </c>
      <c r="N124" s="282">
        <f t="shared" si="2"/>
        <v>0</v>
      </c>
      <c r="O124" s="282">
        <f t="shared" si="2"/>
        <v>0</v>
      </c>
      <c r="P124" s="282">
        <f t="shared" si="2"/>
        <v>0</v>
      </c>
      <c r="Q124" s="282">
        <f t="shared" ref="Q124:S124" si="3">hundred * $H19 * Q56 / $H44 * Q$78 * (1 - Q68) / hours_in_year</f>
        <v>0</v>
      </c>
      <c r="R124" s="282">
        <f t="shared" si="3"/>
        <v>0</v>
      </c>
      <c r="S124" s="282">
        <f t="shared" si="3"/>
        <v>0</v>
      </c>
      <c r="T124" s="282">
        <f t="shared" si="2"/>
        <v>0</v>
      </c>
      <c r="U124" s="282">
        <f t="shared" si="2"/>
        <v>0</v>
      </c>
      <c r="V124" s="282">
        <f t="shared" si="2"/>
        <v>0</v>
      </c>
      <c r="W124" s="282">
        <f t="shared" si="2"/>
        <v>0</v>
      </c>
      <c r="X124" s="282">
        <f t="shared" si="2"/>
        <v>0</v>
      </c>
      <c r="Y124" s="282">
        <f t="shared" si="2"/>
        <v>0</v>
      </c>
      <c r="Z124" s="282">
        <f t="shared" si="2"/>
        <v>0</v>
      </c>
      <c r="AA124" s="282">
        <f t="shared" si="2"/>
        <v>0</v>
      </c>
      <c r="AB124" s="282">
        <f t="shared" si="2"/>
        <v>0</v>
      </c>
      <c r="AC124" s="271"/>
      <c r="AD124" s="271"/>
    </row>
    <row r="125" spans="2:30" x14ac:dyDescent="0.25">
      <c r="E125" s="32"/>
      <c r="F125" s="191" t="s">
        <v>191</v>
      </c>
      <c r="G125" t="s">
        <v>268</v>
      </c>
      <c r="H125" s="271"/>
      <c r="I125" s="271"/>
      <c r="J125" s="282">
        <f t="shared" ref="J125:AB125" si="4">hundred * $H20 * J57 / $H45 * J$78 * (1 - J69) / hours_in_year</f>
        <v>0</v>
      </c>
      <c r="K125" s="282">
        <f t="shared" si="4"/>
        <v>0</v>
      </c>
      <c r="L125" s="282">
        <f t="shared" si="4"/>
        <v>0</v>
      </c>
      <c r="M125" s="282">
        <f t="shared" si="4"/>
        <v>0</v>
      </c>
      <c r="N125" s="282">
        <f t="shared" si="4"/>
        <v>0</v>
      </c>
      <c r="O125" s="282">
        <f t="shared" si="4"/>
        <v>0</v>
      </c>
      <c r="P125" s="282">
        <f t="shared" si="4"/>
        <v>0</v>
      </c>
      <c r="Q125" s="282">
        <f t="shared" ref="Q125:S125" si="5">hundred * $H20 * Q57 / $H45 * Q$78 * (1 - Q69) / hours_in_year</f>
        <v>0</v>
      </c>
      <c r="R125" s="282">
        <f t="shared" si="5"/>
        <v>0</v>
      </c>
      <c r="S125" s="282">
        <f t="shared" si="5"/>
        <v>0</v>
      </c>
      <c r="T125" s="282">
        <f t="shared" si="4"/>
        <v>0</v>
      </c>
      <c r="U125" s="282">
        <f t="shared" si="4"/>
        <v>0</v>
      </c>
      <c r="V125" s="282">
        <f t="shared" si="4"/>
        <v>0</v>
      </c>
      <c r="W125" s="282">
        <f t="shared" si="4"/>
        <v>0</v>
      </c>
      <c r="X125" s="282">
        <f t="shared" si="4"/>
        <v>0</v>
      </c>
      <c r="Y125" s="282">
        <f t="shared" si="4"/>
        <v>0</v>
      </c>
      <c r="Z125" s="282">
        <f t="shared" si="4"/>
        <v>0</v>
      </c>
      <c r="AA125" s="282">
        <f t="shared" si="4"/>
        <v>0</v>
      </c>
      <c r="AB125" s="282">
        <f t="shared" si="4"/>
        <v>0</v>
      </c>
      <c r="AC125" s="271"/>
      <c r="AD125" s="271"/>
    </row>
    <row r="126" spans="2:30" x14ac:dyDescent="0.25">
      <c r="E126" s="32"/>
      <c r="F126" s="191" t="s">
        <v>192</v>
      </c>
      <c r="G126" t="s">
        <v>268</v>
      </c>
      <c r="H126" s="271"/>
      <c r="I126" s="271"/>
      <c r="J126" s="282">
        <f t="shared" ref="J126:AB126" si="6">hundred * $H21 * J58 / $H46 * J$78 * (1 - J70) / hours_in_year</f>
        <v>0</v>
      </c>
      <c r="K126" s="282">
        <f t="shared" si="6"/>
        <v>0</v>
      </c>
      <c r="L126" s="282">
        <f t="shared" si="6"/>
        <v>0</v>
      </c>
      <c r="M126" s="282">
        <f t="shared" si="6"/>
        <v>0</v>
      </c>
      <c r="N126" s="282">
        <f t="shared" si="6"/>
        <v>0</v>
      </c>
      <c r="O126" s="282">
        <f t="shared" si="6"/>
        <v>0</v>
      </c>
      <c r="P126" s="282">
        <f t="shared" si="6"/>
        <v>0</v>
      </c>
      <c r="Q126" s="282">
        <f t="shared" ref="Q126:S126" si="7">hundred * $H21 * Q58 / $H46 * Q$78 * (1 - Q70) / hours_in_year</f>
        <v>0</v>
      </c>
      <c r="R126" s="282">
        <f t="shared" si="7"/>
        <v>0</v>
      </c>
      <c r="S126" s="282">
        <f t="shared" si="7"/>
        <v>0</v>
      </c>
      <c r="T126" s="282">
        <f t="shared" si="6"/>
        <v>0</v>
      </c>
      <c r="U126" s="282">
        <f t="shared" si="6"/>
        <v>0</v>
      </c>
      <c r="V126" s="282">
        <f t="shared" si="6"/>
        <v>0</v>
      </c>
      <c r="W126" s="282">
        <f t="shared" si="6"/>
        <v>0</v>
      </c>
      <c r="X126" s="282">
        <f t="shared" si="6"/>
        <v>0</v>
      </c>
      <c r="Y126" s="282">
        <f t="shared" si="6"/>
        <v>0</v>
      </c>
      <c r="Z126" s="282">
        <f t="shared" si="6"/>
        <v>0</v>
      </c>
      <c r="AA126" s="282">
        <f t="shared" si="6"/>
        <v>0</v>
      </c>
      <c r="AB126" s="282">
        <f t="shared" si="6"/>
        <v>0</v>
      </c>
      <c r="AC126" s="271"/>
      <c r="AD126" s="271"/>
    </row>
    <row r="127" spans="2:30" x14ac:dyDescent="0.25">
      <c r="E127" s="32"/>
      <c r="F127" s="191" t="s">
        <v>193</v>
      </c>
      <c r="G127" t="s">
        <v>268</v>
      </c>
      <c r="H127" s="271"/>
      <c r="I127" s="271"/>
      <c r="J127" s="282">
        <f t="shared" ref="J127:AB127" si="8">hundred * $H22 * J59 / $H47 * J$78 * (1 - J71) / hours_in_year</f>
        <v>0.29815938040858531</v>
      </c>
      <c r="K127" s="282">
        <f t="shared" si="8"/>
        <v>0.29815938040858531</v>
      </c>
      <c r="L127" s="282">
        <f t="shared" si="8"/>
        <v>0.2394504015286161</v>
      </c>
      <c r="M127" s="282">
        <f t="shared" si="8"/>
        <v>0.2394504015286161</v>
      </c>
      <c r="N127" s="282">
        <f t="shared" si="8"/>
        <v>0.21956775836949444</v>
      </c>
      <c r="O127" s="282">
        <f t="shared" si="8"/>
        <v>0.17292758164569083</v>
      </c>
      <c r="P127" s="282">
        <f t="shared" si="8"/>
        <v>0.16213601267798952</v>
      </c>
      <c r="Q127" s="282">
        <f t="shared" ref="Q127:S127" si="9">hundred * $H22 * Q59 / $H47 * Q$78 * (1 - Q71) / hours_in_year</f>
        <v>0.21956775836949444</v>
      </c>
      <c r="R127" s="282">
        <f t="shared" si="9"/>
        <v>0.17292758164569083</v>
      </c>
      <c r="S127" s="282">
        <f t="shared" si="9"/>
        <v>0.16213601267798952</v>
      </c>
      <c r="T127" s="282">
        <f t="shared" si="8"/>
        <v>0.31473245434523334</v>
      </c>
      <c r="U127" s="282">
        <f t="shared" si="8"/>
        <v>-0.15578010249269109</v>
      </c>
      <c r="V127" s="282">
        <f t="shared" si="8"/>
        <v>-0.14811878597665709</v>
      </c>
      <c r="W127" s="282">
        <f t="shared" si="8"/>
        <v>-0.15578010249269109</v>
      </c>
      <c r="X127" s="282">
        <f t="shared" si="8"/>
        <v>-0.15578010249269109</v>
      </c>
      <c r="Y127" s="282">
        <f t="shared" si="8"/>
        <v>-0.14811878597665709</v>
      </c>
      <c r="Z127" s="282">
        <f t="shared" si="8"/>
        <v>-0.14811878597665709</v>
      </c>
      <c r="AA127" s="282">
        <f t="shared" si="8"/>
        <v>-0.1410378722269893</v>
      </c>
      <c r="AB127" s="282">
        <f t="shared" si="8"/>
        <v>-0.1410378722269893</v>
      </c>
      <c r="AC127" s="271"/>
      <c r="AD127" s="271"/>
    </row>
    <row r="128" spans="2:30" x14ac:dyDescent="0.25">
      <c r="E128" s="32"/>
      <c r="F128" s="191" t="s">
        <v>194</v>
      </c>
      <c r="G128" t="s">
        <v>268</v>
      </c>
      <c r="H128" s="271"/>
      <c r="I128" s="271"/>
      <c r="J128" s="282">
        <f t="shared" ref="J128:AB128" si="10">hundred * $H23 * J60 / $H48 * J$78 * (1 - J72) / hours_in_year</f>
        <v>7.6401824577197505E-2</v>
      </c>
      <c r="K128" s="282">
        <f t="shared" si="10"/>
        <v>7.6401824577197505E-2</v>
      </c>
      <c r="L128" s="282">
        <f t="shared" si="10"/>
        <v>6.1357947375188661E-2</v>
      </c>
      <c r="M128" s="282">
        <f t="shared" si="10"/>
        <v>6.1357947375188661E-2</v>
      </c>
      <c r="N128" s="282">
        <f t="shared" si="10"/>
        <v>5.6263121203050256E-2</v>
      </c>
      <c r="O128" s="282">
        <f t="shared" si="10"/>
        <v>4.4311813162973147E-2</v>
      </c>
      <c r="P128" s="282">
        <f t="shared" si="10"/>
        <v>3.6785886797316661E-2</v>
      </c>
      <c r="Q128" s="282">
        <f t="shared" ref="Q128:S128" si="11">hundred * $H23 * Q60 / $H48 * Q$78 * (1 - Q72) / hours_in_year</f>
        <v>5.6263121203050256E-2</v>
      </c>
      <c r="R128" s="282">
        <f t="shared" si="11"/>
        <v>4.4311813162973147E-2</v>
      </c>
      <c r="S128" s="282">
        <f t="shared" si="11"/>
        <v>3.6785886797316661E-2</v>
      </c>
      <c r="T128" s="282">
        <f t="shared" si="10"/>
        <v>8.0648590470920323E-2</v>
      </c>
      <c r="U128" s="282">
        <f t="shared" si="10"/>
        <v>-3.9917858854397206E-2</v>
      </c>
      <c r="V128" s="282">
        <f t="shared" si="10"/>
        <v>-3.7954685468115375E-2</v>
      </c>
      <c r="W128" s="282">
        <f t="shared" si="10"/>
        <v>-3.9917858854397206E-2</v>
      </c>
      <c r="X128" s="282">
        <f t="shared" si="10"/>
        <v>-3.9917858854397206E-2</v>
      </c>
      <c r="Y128" s="282">
        <f t="shared" si="10"/>
        <v>-3.7954685468115375E-2</v>
      </c>
      <c r="Z128" s="282">
        <f t="shared" si="10"/>
        <v>-3.7954685468115375E-2</v>
      </c>
      <c r="AA128" s="282">
        <f t="shared" si="10"/>
        <v>-3.1999079761388223E-2</v>
      </c>
      <c r="AB128" s="282">
        <f t="shared" si="10"/>
        <v>-3.1999079761388223E-2</v>
      </c>
      <c r="AC128" s="271"/>
      <c r="AD128" s="271"/>
    </row>
    <row r="129" spans="4:30" x14ac:dyDescent="0.25">
      <c r="E129" s="32"/>
      <c r="F129" s="191" t="s">
        <v>195</v>
      </c>
      <c r="G129" t="s">
        <v>268</v>
      </c>
      <c r="H129" s="271"/>
      <c r="I129" s="271"/>
      <c r="J129" s="282">
        <f t="shared" ref="J129:AB129" si="12">hundred * $H24 * J61 / $H49 * J$78 * (1 - J73) / hours_in_year</f>
        <v>0</v>
      </c>
      <c r="K129" s="282">
        <f t="shared" si="12"/>
        <v>0</v>
      </c>
      <c r="L129" s="282">
        <f t="shared" si="12"/>
        <v>0</v>
      </c>
      <c r="M129" s="282">
        <f t="shared" si="12"/>
        <v>0</v>
      </c>
      <c r="N129" s="282">
        <f t="shared" si="12"/>
        <v>0</v>
      </c>
      <c r="O129" s="282">
        <f t="shared" si="12"/>
        <v>0</v>
      </c>
      <c r="P129" s="282">
        <f t="shared" si="12"/>
        <v>0</v>
      </c>
      <c r="Q129" s="282">
        <f t="shared" ref="Q129:S129" si="13">hundred * $H24 * Q61 / $H49 * Q$78 * (1 - Q73) / hours_in_year</f>
        <v>0</v>
      </c>
      <c r="R129" s="282">
        <f t="shared" si="13"/>
        <v>0</v>
      </c>
      <c r="S129" s="282">
        <f t="shared" si="13"/>
        <v>0</v>
      </c>
      <c r="T129" s="282">
        <f t="shared" si="12"/>
        <v>0</v>
      </c>
      <c r="U129" s="282">
        <f t="shared" si="12"/>
        <v>0</v>
      </c>
      <c r="V129" s="282">
        <f t="shared" si="12"/>
        <v>0</v>
      </c>
      <c r="W129" s="282">
        <f t="shared" si="12"/>
        <v>0</v>
      </c>
      <c r="X129" s="282">
        <f t="shared" si="12"/>
        <v>0</v>
      </c>
      <c r="Y129" s="282">
        <f t="shared" si="12"/>
        <v>0</v>
      </c>
      <c r="Z129" s="282">
        <f t="shared" si="12"/>
        <v>0</v>
      </c>
      <c r="AA129" s="282">
        <f t="shared" si="12"/>
        <v>0</v>
      </c>
      <c r="AB129" s="282">
        <f t="shared" si="12"/>
        <v>0</v>
      </c>
      <c r="AC129" s="271"/>
      <c r="AD129" s="271"/>
    </row>
    <row r="130" spans="4:30" x14ac:dyDescent="0.25">
      <c r="E130" s="32"/>
      <c r="F130" s="191" t="s">
        <v>196</v>
      </c>
      <c r="G130" t="s">
        <v>268</v>
      </c>
      <c r="H130" s="271"/>
      <c r="I130" s="271"/>
      <c r="J130" s="282">
        <f t="shared" ref="J130:AB130" si="14">hundred * $H25 * J62 / $H50 * J$78 * (1 - J74) / hours_in_year</f>
        <v>0.26273193767159886</v>
      </c>
      <c r="K130" s="282">
        <f t="shared" si="14"/>
        <v>0.26273193767159886</v>
      </c>
      <c r="L130" s="282">
        <f t="shared" si="14"/>
        <v>0.21099878824420912</v>
      </c>
      <c r="M130" s="282">
        <f t="shared" si="14"/>
        <v>0.21099878824420912</v>
      </c>
      <c r="N130" s="282">
        <f t="shared" si="14"/>
        <v>0.19347861042498202</v>
      </c>
      <c r="O130" s="282">
        <f t="shared" si="14"/>
        <v>0.15238024220594915</v>
      </c>
      <c r="P130" s="282">
        <f t="shared" si="14"/>
        <v>0.1011887037750764</v>
      </c>
      <c r="Q130" s="282">
        <f t="shared" ref="Q130:S130" si="15">hundred * $H25 * Q62 / $H50 * Q$78 * (1 - Q74) / hours_in_year</f>
        <v>0.19347861042498202</v>
      </c>
      <c r="R130" s="282">
        <f t="shared" si="15"/>
        <v>0.15238024220594915</v>
      </c>
      <c r="S130" s="282">
        <f t="shared" si="15"/>
        <v>0.1011887037750764</v>
      </c>
      <c r="T130" s="282">
        <f t="shared" si="14"/>
        <v>0.27733579089460764</v>
      </c>
      <c r="U130" s="282">
        <f t="shared" si="14"/>
        <v>-0.13727023487404083</v>
      </c>
      <c r="V130" s="282">
        <f t="shared" si="14"/>
        <v>-0.13051923971630108</v>
      </c>
      <c r="W130" s="282">
        <f t="shared" si="14"/>
        <v>-0.13727023487404083</v>
      </c>
      <c r="X130" s="282">
        <f t="shared" si="14"/>
        <v>-0.13727023487404083</v>
      </c>
      <c r="Y130" s="282">
        <f t="shared" si="14"/>
        <v>-0.13051923971630108</v>
      </c>
      <c r="Z130" s="282">
        <f t="shared" si="14"/>
        <v>-0.13051923971630108</v>
      </c>
      <c r="AA130" s="282">
        <f t="shared" si="14"/>
        <v>0</v>
      </c>
      <c r="AB130" s="282">
        <f t="shared" si="14"/>
        <v>0</v>
      </c>
      <c r="AC130" s="271"/>
      <c r="AD130" s="271"/>
    </row>
    <row r="131" spans="4:30" x14ac:dyDescent="0.25">
      <c r="E131" s="32"/>
      <c r="F131" s="191" t="s">
        <v>197</v>
      </c>
      <c r="G131" t="s">
        <v>268</v>
      </c>
      <c r="H131" s="271"/>
      <c r="I131" s="271"/>
      <c r="J131" s="282">
        <f t="shared" ref="J131:AB131" si="16">hundred * $H26 * J63 / $H51 * J$78 * (1 - J75) / hours_in_year</f>
        <v>6.0329341090481103E-2</v>
      </c>
      <c r="K131" s="282">
        <f t="shared" si="16"/>
        <v>6.0329341090481103E-2</v>
      </c>
      <c r="L131" s="282">
        <f t="shared" si="16"/>
        <v>4.845021118663613E-2</v>
      </c>
      <c r="M131" s="282">
        <f t="shared" si="16"/>
        <v>4.845021118663613E-2</v>
      </c>
      <c r="N131" s="282">
        <f t="shared" si="16"/>
        <v>4.4427172370003175E-2</v>
      </c>
      <c r="O131" s="282">
        <f t="shared" si="16"/>
        <v>3.4990034667896359E-2</v>
      </c>
      <c r="P131" s="282">
        <f t="shared" si="16"/>
        <v>0</v>
      </c>
      <c r="Q131" s="282">
        <f t="shared" ref="Q131:S131" si="17">hundred * $H26 * Q63 / $H51 * Q$78 * (1 - Q75) / hours_in_year</f>
        <v>4.4427172370003175E-2</v>
      </c>
      <c r="R131" s="282">
        <f t="shared" si="17"/>
        <v>3.4990034667896359E-2</v>
      </c>
      <c r="S131" s="282">
        <f t="shared" si="17"/>
        <v>0</v>
      </c>
      <c r="T131" s="282">
        <f t="shared" si="16"/>
        <v>6.3682724200788285E-2</v>
      </c>
      <c r="U131" s="282">
        <f t="shared" si="16"/>
        <v>-3.1520426845242575E-2</v>
      </c>
      <c r="V131" s="282">
        <f t="shared" si="16"/>
        <v>0</v>
      </c>
      <c r="W131" s="282">
        <f t="shared" si="16"/>
        <v>-3.1520426845242575E-2</v>
      </c>
      <c r="X131" s="282">
        <f t="shared" si="16"/>
        <v>-3.1520426845242575E-2</v>
      </c>
      <c r="Y131" s="282">
        <f t="shared" si="16"/>
        <v>0</v>
      </c>
      <c r="Z131" s="282">
        <f t="shared" si="16"/>
        <v>0</v>
      </c>
      <c r="AA131" s="282">
        <f t="shared" si="16"/>
        <v>0</v>
      </c>
      <c r="AB131" s="282">
        <f t="shared" si="16"/>
        <v>0</v>
      </c>
      <c r="AC131" s="271"/>
      <c r="AD131" s="271"/>
    </row>
    <row r="132" spans="4:30" x14ac:dyDescent="0.25">
      <c r="E132" s="32"/>
      <c r="F132" s="192" t="s">
        <v>198</v>
      </c>
      <c r="G132" s="37" t="s">
        <v>268</v>
      </c>
      <c r="H132" s="275"/>
      <c r="I132" s="275"/>
      <c r="J132" s="283">
        <f t="shared" ref="J132:AB132" si="18">hundred * $H27 * J64 / $H52 * J$78 * (1 - J76) / hours_in_year</f>
        <v>1.0599273401970805E-2</v>
      </c>
      <c r="K132" s="283">
        <f t="shared" si="18"/>
        <v>1.0599273401970805E-2</v>
      </c>
      <c r="L132" s="283">
        <f t="shared" si="18"/>
        <v>8.5122268114976585E-3</v>
      </c>
      <c r="M132" s="283">
        <f t="shared" si="18"/>
        <v>8.5122268114976585E-3</v>
      </c>
      <c r="N132" s="283">
        <f t="shared" si="18"/>
        <v>7.8054183572120227E-3</v>
      </c>
      <c r="O132" s="283">
        <f t="shared" si="18"/>
        <v>0</v>
      </c>
      <c r="P132" s="283">
        <f t="shared" si="18"/>
        <v>0</v>
      </c>
      <c r="Q132" s="283">
        <f t="shared" ref="Q132:S132" si="19">hundred * $H27 * Q64 / $H52 * Q$78 * (1 - Q76) / hours_in_year</f>
        <v>7.8054183572120227E-3</v>
      </c>
      <c r="R132" s="283">
        <f t="shared" si="19"/>
        <v>0</v>
      </c>
      <c r="S132" s="283">
        <f t="shared" si="19"/>
        <v>0</v>
      </c>
      <c r="T132" s="283">
        <f t="shared" si="18"/>
        <v>1.1188429917941854E-2</v>
      </c>
      <c r="U132" s="283">
        <f t="shared" si="18"/>
        <v>0</v>
      </c>
      <c r="V132" s="283">
        <f t="shared" si="18"/>
        <v>0</v>
      </c>
      <c r="W132" s="283">
        <f t="shared" si="18"/>
        <v>0</v>
      </c>
      <c r="X132" s="283">
        <f t="shared" si="18"/>
        <v>0</v>
      </c>
      <c r="Y132" s="283">
        <f t="shared" si="18"/>
        <v>0</v>
      </c>
      <c r="Z132" s="283">
        <f t="shared" si="18"/>
        <v>0</v>
      </c>
      <c r="AA132" s="283">
        <f t="shared" si="18"/>
        <v>0</v>
      </c>
      <c r="AB132" s="283">
        <f t="shared" si="18"/>
        <v>0</v>
      </c>
      <c r="AC132" s="271"/>
      <c r="AD132" s="271"/>
    </row>
    <row r="133" spans="4:30" x14ac:dyDescent="0.25">
      <c r="E133" s="32"/>
      <c r="F133" s="191"/>
      <c r="J133" s="89"/>
      <c r="K133" s="89"/>
      <c r="L133" s="89"/>
      <c r="M133" s="89"/>
      <c r="N133" s="89"/>
      <c r="O133" s="89"/>
      <c r="P133" s="89"/>
      <c r="Q133" s="89"/>
      <c r="R133" s="89"/>
      <c r="S133" s="89"/>
      <c r="T133" s="89"/>
      <c r="U133" s="89"/>
      <c r="V133" s="89"/>
      <c r="W133" s="89"/>
      <c r="X133" s="89"/>
      <c r="Y133" s="89"/>
      <c r="Z133" s="89"/>
      <c r="AA133" s="89"/>
      <c r="AB133" s="89"/>
    </row>
    <row r="134" spans="4:30" x14ac:dyDescent="0.25">
      <c r="E134" s="32" t="s">
        <v>621</v>
      </c>
      <c r="J134" s="89"/>
      <c r="K134" s="89"/>
      <c r="L134" s="89"/>
      <c r="M134" s="89"/>
      <c r="N134" s="89"/>
      <c r="O134" s="89"/>
      <c r="P134" s="89"/>
      <c r="Q134" s="89"/>
      <c r="R134" s="89"/>
      <c r="S134" s="89"/>
      <c r="T134" s="89"/>
      <c r="U134" s="89"/>
      <c r="V134" s="89"/>
      <c r="W134" s="89"/>
      <c r="X134" s="89"/>
      <c r="Y134" s="89"/>
      <c r="Z134" s="89"/>
      <c r="AA134" s="89"/>
      <c r="AB134" s="89"/>
    </row>
    <row r="135" spans="4:30" x14ac:dyDescent="0.25">
      <c r="D135" s="32"/>
      <c r="E135" s="32"/>
      <c r="F135" s="190" t="s">
        <v>188</v>
      </c>
      <c r="G135" s="23" t="s">
        <v>268</v>
      </c>
      <c r="H135" s="269"/>
      <c r="I135" s="269"/>
      <c r="J135" s="281">
        <f t="shared" ref="J135:AB135" si="20">hundred * $H30 * J55 / $H43 * J$78 / hours_in_year</f>
        <v>0.31132887203476051</v>
      </c>
      <c r="K135" s="281">
        <f t="shared" si="20"/>
        <v>0.31132887203476051</v>
      </c>
      <c r="L135" s="281">
        <f t="shared" si="20"/>
        <v>0.25002675855449291</v>
      </c>
      <c r="M135" s="281">
        <f t="shared" si="20"/>
        <v>0.25002675855449291</v>
      </c>
      <c r="N135" s="281">
        <f t="shared" si="20"/>
        <v>0.22926591293120097</v>
      </c>
      <c r="O135" s="281">
        <f t="shared" si="20"/>
        <v>0.18056567217062025</v>
      </c>
      <c r="P135" s="281">
        <f t="shared" si="20"/>
        <v>0.1747316861813501</v>
      </c>
      <c r="Q135" s="281">
        <f t="shared" ref="Q135:S135" si="21">hundred * $H30 * Q55 / $H43 * Q$78 / hours_in_year</f>
        <v>0.22926591293120097</v>
      </c>
      <c r="R135" s="281">
        <f t="shared" si="21"/>
        <v>0.18056567217062025</v>
      </c>
      <c r="S135" s="281">
        <f t="shared" si="21"/>
        <v>0.1747316861813501</v>
      </c>
      <c r="T135" s="281">
        <f t="shared" si="20"/>
        <v>0.32863396707411402</v>
      </c>
      <c r="U135" s="281">
        <f t="shared" si="20"/>
        <v>-0.16266080083761941</v>
      </c>
      <c r="V135" s="281">
        <f t="shared" si="20"/>
        <v>-0.15466108932101516</v>
      </c>
      <c r="W135" s="281">
        <f t="shared" si="20"/>
        <v>-0.16266080083761941</v>
      </c>
      <c r="X135" s="281">
        <f t="shared" si="20"/>
        <v>-0.16266080083761941</v>
      </c>
      <c r="Y135" s="281">
        <f t="shared" si="20"/>
        <v>-0.15466108932101516</v>
      </c>
      <c r="Z135" s="281">
        <f t="shared" si="20"/>
        <v>-0.15466108932101516</v>
      </c>
      <c r="AA135" s="281">
        <f t="shared" si="20"/>
        <v>-0.1519945188154804</v>
      </c>
      <c r="AB135" s="281">
        <f t="shared" si="20"/>
        <v>-0.1519945188154804</v>
      </c>
      <c r="AC135" s="271"/>
      <c r="AD135" s="271"/>
    </row>
    <row r="136" spans="4:30" x14ac:dyDescent="0.25">
      <c r="D136" s="32"/>
      <c r="E136" s="32"/>
      <c r="F136" s="191" t="s">
        <v>190</v>
      </c>
      <c r="G136" t="s">
        <v>268</v>
      </c>
      <c r="H136" s="271"/>
      <c r="I136" s="271"/>
      <c r="J136" s="282">
        <f t="shared" ref="J136:AB136" si="22">hundred * $H31 * J56 / $H44 * J$78 / hours_in_year</f>
        <v>0</v>
      </c>
      <c r="K136" s="282">
        <f t="shared" si="22"/>
        <v>0</v>
      </c>
      <c r="L136" s="282">
        <f t="shared" si="22"/>
        <v>0</v>
      </c>
      <c r="M136" s="282">
        <f t="shared" si="22"/>
        <v>0</v>
      </c>
      <c r="N136" s="282">
        <f t="shared" si="22"/>
        <v>0</v>
      </c>
      <c r="O136" s="282">
        <f t="shared" si="22"/>
        <v>0</v>
      </c>
      <c r="P136" s="282">
        <f t="shared" si="22"/>
        <v>0</v>
      </c>
      <c r="Q136" s="282">
        <f t="shared" ref="Q136:S136" si="23">hundred * $H31 * Q56 / $H44 * Q$78 / hours_in_year</f>
        <v>0</v>
      </c>
      <c r="R136" s="282">
        <f t="shared" si="23"/>
        <v>0</v>
      </c>
      <c r="S136" s="282">
        <f t="shared" si="23"/>
        <v>0</v>
      </c>
      <c r="T136" s="282">
        <f t="shared" si="22"/>
        <v>0</v>
      </c>
      <c r="U136" s="282">
        <f t="shared" si="22"/>
        <v>0</v>
      </c>
      <c r="V136" s="282">
        <f t="shared" si="22"/>
        <v>0</v>
      </c>
      <c r="W136" s="282">
        <f t="shared" si="22"/>
        <v>0</v>
      </c>
      <c r="X136" s="282">
        <f t="shared" si="22"/>
        <v>0</v>
      </c>
      <c r="Y136" s="282">
        <f t="shared" si="22"/>
        <v>0</v>
      </c>
      <c r="Z136" s="282">
        <f t="shared" si="22"/>
        <v>0</v>
      </c>
      <c r="AA136" s="282">
        <f t="shared" si="22"/>
        <v>0</v>
      </c>
      <c r="AB136" s="282">
        <f t="shared" si="22"/>
        <v>0</v>
      </c>
      <c r="AC136" s="271"/>
      <c r="AD136" s="271"/>
    </row>
    <row r="137" spans="4:30" x14ac:dyDescent="0.25">
      <c r="D137" s="32"/>
      <c r="E137" s="32"/>
      <c r="F137" s="191" t="s">
        <v>191</v>
      </c>
      <c r="G137" t="s">
        <v>268</v>
      </c>
      <c r="H137" s="271"/>
      <c r="I137" s="271"/>
      <c r="J137" s="282">
        <f t="shared" ref="J137:AB137" si="24">hundred * $H32 * J57 / $H45 * J$78 / hours_in_year</f>
        <v>0</v>
      </c>
      <c r="K137" s="282">
        <f t="shared" si="24"/>
        <v>0</v>
      </c>
      <c r="L137" s="282">
        <f t="shared" si="24"/>
        <v>0</v>
      </c>
      <c r="M137" s="282">
        <f t="shared" si="24"/>
        <v>0</v>
      </c>
      <c r="N137" s="282">
        <f t="shared" si="24"/>
        <v>0</v>
      </c>
      <c r="O137" s="282">
        <f t="shared" si="24"/>
        <v>0</v>
      </c>
      <c r="P137" s="282">
        <f t="shared" si="24"/>
        <v>0</v>
      </c>
      <c r="Q137" s="282">
        <f t="shared" ref="Q137:S137" si="25">hundred * $H32 * Q57 / $H45 * Q$78 / hours_in_year</f>
        <v>0</v>
      </c>
      <c r="R137" s="282">
        <f t="shared" si="25"/>
        <v>0</v>
      </c>
      <c r="S137" s="282">
        <f t="shared" si="25"/>
        <v>0</v>
      </c>
      <c r="T137" s="282">
        <f t="shared" si="24"/>
        <v>0</v>
      </c>
      <c r="U137" s="282">
        <f t="shared" si="24"/>
        <v>0</v>
      </c>
      <c r="V137" s="282">
        <f t="shared" si="24"/>
        <v>0</v>
      </c>
      <c r="W137" s="282">
        <f t="shared" si="24"/>
        <v>0</v>
      </c>
      <c r="X137" s="282">
        <f t="shared" si="24"/>
        <v>0</v>
      </c>
      <c r="Y137" s="282">
        <f t="shared" si="24"/>
        <v>0</v>
      </c>
      <c r="Z137" s="282">
        <f t="shared" si="24"/>
        <v>0</v>
      </c>
      <c r="AA137" s="282">
        <f t="shared" si="24"/>
        <v>0</v>
      </c>
      <c r="AB137" s="282">
        <f t="shared" si="24"/>
        <v>0</v>
      </c>
      <c r="AC137" s="271"/>
      <c r="AD137" s="271"/>
    </row>
    <row r="138" spans="4:30" x14ac:dyDescent="0.25">
      <c r="D138" s="32"/>
      <c r="E138" s="32"/>
      <c r="F138" s="191" t="s">
        <v>192</v>
      </c>
      <c r="G138" t="s">
        <v>268</v>
      </c>
      <c r="H138" s="271"/>
      <c r="I138" s="271"/>
      <c r="J138" s="282">
        <f t="shared" ref="J138:AB138" si="26">hundred * $H33 * J58 / $H46 * J$78 / hours_in_year</f>
        <v>0</v>
      </c>
      <c r="K138" s="282">
        <f t="shared" si="26"/>
        <v>0</v>
      </c>
      <c r="L138" s="282">
        <f t="shared" si="26"/>
        <v>0</v>
      </c>
      <c r="M138" s="282">
        <f t="shared" si="26"/>
        <v>0</v>
      </c>
      <c r="N138" s="282">
        <f t="shared" si="26"/>
        <v>0</v>
      </c>
      <c r="O138" s="282">
        <f t="shared" si="26"/>
        <v>0</v>
      </c>
      <c r="P138" s="282">
        <f t="shared" si="26"/>
        <v>0</v>
      </c>
      <c r="Q138" s="282">
        <f t="shared" ref="Q138:S138" si="27">hundred * $H33 * Q58 / $H46 * Q$78 / hours_in_year</f>
        <v>0</v>
      </c>
      <c r="R138" s="282">
        <f t="shared" si="27"/>
        <v>0</v>
      </c>
      <c r="S138" s="282">
        <f t="shared" si="27"/>
        <v>0</v>
      </c>
      <c r="T138" s="282">
        <f t="shared" si="26"/>
        <v>0</v>
      </c>
      <c r="U138" s="282">
        <f t="shared" si="26"/>
        <v>0</v>
      </c>
      <c r="V138" s="282">
        <f t="shared" si="26"/>
        <v>0</v>
      </c>
      <c r="W138" s="282">
        <f t="shared" si="26"/>
        <v>0</v>
      </c>
      <c r="X138" s="282">
        <f t="shared" si="26"/>
        <v>0</v>
      </c>
      <c r="Y138" s="282">
        <f t="shared" si="26"/>
        <v>0</v>
      </c>
      <c r="Z138" s="282">
        <f t="shared" si="26"/>
        <v>0</v>
      </c>
      <c r="AA138" s="282">
        <f t="shared" si="26"/>
        <v>0</v>
      </c>
      <c r="AB138" s="282">
        <f t="shared" si="26"/>
        <v>0</v>
      </c>
      <c r="AC138" s="271"/>
      <c r="AD138" s="271"/>
    </row>
    <row r="139" spans="4:30" x14ac:dyDescent="0.25">
      <c r="D139" s="32"/>
      <c r="E139" s="32"/>
      <c r="F139" s="191" t="s">
        <v>193</v>
      </c>
      <c r="G139" t="s">
        <v>268</v>
      </c>
      <c r="H139" s="271"/>
      <c r="I139" s="271"/>
      <c r="J139" s="282">
        <f t="shared" ref="J139:AB139" si="28">hundred * $H34 * J59 / $H47 * J$78 / hours_in_year</f>
        <v>0.22035271762947548</v>
      </c>
      <c r="K139" s="282">
        <f t="shared" si="28"/>
        <v>0.22035271762947548</v>
      </c>
      <c r="L139" s="282">
        <f t="shared" si="28"/>
        <v>0.17696423517514251</v>
      </c>
      <c r="M139" s="282">
        <f t="shared" si="28"/>
        <v>0.17696423517514251</v>
      </c>
      <c r="N139" s="282">
        <f t="shared" si="28"/>
        <v>0.16227009928122646</v>
      </c>
      <c r="O139" s="282">
        <f t="shared" si="28"/>
        <v>0.12780098521972835</v>
      </c>
      <c r="P139" s="282">
        <f t="shared" si="28"/>
        <v>0.12367179970941554</v>
      </c>
      <c r="Q139" s="282">
        <f t="shared" ref="Q139:S139" si="29">hundred * $H34 * Q59 / $H47 * Q$78 / hours_in_year</f>
        <v>0.16227009928122646</v>
      </c>
      <c r="R139" s="282">
        <f t="shared" si="29"/>
        <v>0.12780098521972835</v>
      </c>
      <c r="S139" s="282">
        <f t="shared" si="29"/>
        <v>0.12367179970941554</v>
      </c>
      <c r="T139" s="282">
        <f t="shared" si="28"/>
        <v>0.23260093828384559</v>
      </c>
      <c r="U139" s="282">
        <f t="shared" si="28"/>
        <v>-0.11512825419016834</v>
      </c>
      <c r="V139" s="282">
        <f t="shared" si="28"/>
        <v>-0.10946620890212727</v>
      </c>
      <c r="W139" s="282">
        <f t="shared" si="28"/>
        <v>-0.11512825419016834</v>
      </c>
      <c r="X139" s="282">
        <f t="shared" si="28"/>
        <v>-0.11512825419016834</v>
      </c>
      <c r="Y139" s="282">
        <f t="shared" si="28"/>
        <v>-0.10946620890212727</v>
      </c>
      <c r="Z139" s="282">
        <f t="shared" si="28"/>
        <v>-0.10946620890212727</v>
      </c>
      <c r="AA139" s="282">
        <f t="shared" si="28"/>
        <v>-0.10757886047278024</v>
      </c>
      <c r="AB139" s="282">
        <f t="shared" si="28"/>
        <v>-0.10757886047278024</v>
      </c>
      <c r="AC139" s="271"/>
      <c r="AD139" s="271"/>
    </row>
    <row r="140" spans="4:30" x14ac:dyDescent="0.25">
      <c r="D140" s="32"/>
      <c r="E140" s="32"/>
      <c r="F140" s="191" t="s">
        <v>194</v>
      </c>
      <c r="G140" t="s">
        <v>268</v>
      </c>
      <c r="H140" s="271"/>
      <c r="I140" s="271"/>
      <c r="J140" s="282">
        <f t="shared" ref="J140:AB140" si="30">hundred * $H35 * J60 / $H48 * J$78 / hours_in_year</f>
        <v>5.6464263020554482E-2</v>
      </c>
      <c r="K140" s="282">
        <f t="shared" si="30"/>
        <v>5.6464263020554482E-2</v>
      </c>
      <c r="L140" s="282">
        <f t="shared" si="30"/>
        <v>4.5346185096579471E-2</v>
      </c>
      <c r="M140" s="282">
        <f t="shared" si="30"/>
        <v>4.5346185096579471E-2</v>
      </c>
      <c r="N140" s="282">
        <f t="shared" si="30"/>
        <v>4.1580887518679929E-2</v>
      </c>
      <c r="O140" s="282">
        <f t="shared" si="30"/>
        <v>3.2748352375062628E-2</v>
      </c>
      <c r="P140" s="282">
        <f t="shared" si="30"/>
        <v>3.1690269592044677E-2</v>
      </c>
      <c r="Q140" s="282">
        <f t="shared" ref="Q140:S140" si="31">hundred * $H35 * Q60 / $H48 * Q$78 / hours_in_year</f>
        <v>4.1580887518679929E-2</v>
      </c>
      <c r="R140" s="282">
        <f t="shared" si="31"/>
        <v>3.2748352375062628E-2</v>
      </c>
      <c r="S140" s="282">
        <f t="shared" si="31"/>
        <v>3.1690269592044677E-2</v>
      </c>
      <c r="T140" s="282">
        <f t="shared" si="30"/>
        <v>5.9602807259999946E-2</v>
      </c>
      <c r="U140" s="282">
        <f t="shared" si="30"/>
        <v>-2.9501029511339059E-2</v>
      </c>
      <c r="V140" s="282">
        <f t="shared" si="30"/>
        <v>-2.8050159207502711E-2</v>
      </c>
      <c r="W140" s="282">
        <f t="shared" si="30"/>
        <v>-2.9501029511339059E-2</v>
      </c>
      <c r="X140" s="282">
        <f t="shared" si="30"/>
        <v>-2.9501029511339059E-2</v>
      </c>
      <c r="Y140" s="282">
        <f t="shared" si="30"/>
        <v>-2.8050159207502711E-2</v>
      </c>
      <c r="Z140" s="282">
        <f t="shared" si="30"/>
        <v>-2.8050159207502711E-2</v>
      </c>
      <c r="AA140" s="282">
        <f t="shared" si="30"/>
        <v>-2.7566535772890595E-2</v>
      </c>
      <c r="AB140" s="282">
        <f t="shared" si="30"/>
        <v>-2.7566535772890595E-2</v>
      </c>
      <c r="AC140" s="271"/>
      <c r="AD140" s="271"/>
    </row>
    <row r="141" spans="4:30" x14ac:dyDescent="0.25">
      <c r="D141" s="32"/>
      <c r="E141" s="32"/>
      <c r="F141" s="191" t="s">
        <v>195</v>
      </c>
      <c r="G141" t="s">
        <v>268</v>
      </c>
      <c r="H141" s="271"/>
      <c r="I141" s="271"/>
      <c r="J141" s="282">
        <f t="shared" ref="J141:AB141" si="32">hundred * $H36 * J61 / $H49 * J$78 / hours_in_year</f>
        <v>0</v>
      </c>
      <c r="K141" s="282">
        <f t="shared" si="32"/>
        <v>0</v>
      </c>
      <c r="L141" s="282">
        <f t="shared" si="32"/>
        <v>0</v>
      </c>
      <c r="M141" s="282">
        <f t="shared" si="32"/>
        <v>0</v>
      </c>
      <c r="N141" s="282">
        <f t="shared" si="32"/>
        <v>0</v>
      </c>
      <c r="O141" s="282">
        <f t="shared" si="32"/>
        <v>0</v>
      </c>
      <c r="P141" s="282">
        <f t="shared" si="32"/>
        <v>0</v>
      </c>
      <c r="Q141" s="282">
        <f t="shared" ref="Q141:S141" si="33">hundred * $H36 * Q61 / $H49 * Q$78 / hours_in_year</f>
        <v>0</v>
      </c>
      <c r="R141" s="282">
        <f t="shared" si="33"/>
        <v>0</v>
      </c>
      <c r="S141" s="282">
        <f t="shared" si="33"/>
        <v>0</v>
      </c>
      <c r="T141" s="282">
        <f t="shared" si="32"/>
        <v>0</v>
      </c>
      <c r="U141" s="282">
        <f t="shared" si="32"/>
        <v>0</v>
      </c>
      <c r="V141" s="282">
        <f t="shared" si="32"/>
        <v>0</v>
      </c>
      <c r="W141" s="282">
        <f t="shared" si="32"/>
        <v>0</v>
      </c>
      <c r="X141" s="282">
        <f t="shared" si="32"/>
        <v>0</v>
      </c>
      <c r="Y141" s="282">
        <f t="shared" si="32"/>
        <v>0</v>
      </c>
      <c r="Z141" s="282">
        <f t="shared" si="32"/>
        <v>0</v>
      </c>
      <c r="AA141" s="282">
        <f t="shared" si="32"/>
        <v>0</v>
      </c>
      <c r="AB141" s="282">
        <f t="shared" si="32"/>
        <v>0</v>
      </c>
      <c r="AC141" s="271"/>
      <c r="AD141" s="271"/>
    </row>
    <row r="142" spans="4:30" x14ac:dyDescent="0.25">
      <c r="D142" s="32"/>
      <c r="E142" s="32"/>
      <c r="F142" s="191" t="s">
        <v>196</v>
      </c>
      <c r="G142" t="s">
        <v>268</v>
      </c>
      <c r="H142" s="271"/>
      <c r="I142" s="271"/>
      <c r="J142" s="282">
        <f t="shared" ref="J142:AB142" si="34">hundred * $H37 * J62 / $H50 * J$78 / hours_in_year</f>
        <v>0.24291084133676452</v>
      </c>
      <c r="K142" s="282">
        <f t="shared" si="34"/>
        <v>0.24291084133676452</v>
      </c>
      <c r="L142" s="282">
        <f t="shared" si="34"/>
        <v>0.19508055863959461</v>
      </c>
      <c r="M142" s="282">
        <f t="shared" si="34"/>
        <v>0.19508055863959461</v>
      </c>
      <c r="N142" s="282">
        <f t="shared" si="34"/>
        <v>0.17888214297625885</v>
      </c>
      <c r="O142" s="282">
        <f t="shared" si="34"/>
        <v>0.14088432934869774</v>
      </c>
      <c r="P142" s="282">
        <f t="shared" si="34"/>
        <v>0.13633242757441488</v>
      </c>
      <c r="Q142" s="282">
        <f t="shared" ref="Q142:S142" si="35">hundred * $H37 * Q62 / $H50 * Q$78 / hours_in_year</f>
        <v>0.17888214297625885</v>
      </c>
      <c r="R142" s="282">
        <f t="shared" si="35"/>
        <v>0.14088432934869774</v>
      </c>
      <c r="S142" s="282">
        <f t="shared" si="35"/>
        <v>0.13633242757441488</v>
      </c>
      <c r="T142" s="282">
        <f t="shared" si="34"/>
        <v>0.25641294657984226</v>
      </c>
      <c r="U142" s="282">
        <f t="shared" si="34"/>
        <v>-0.1269142554165886</v>
      </c>
      <c r="V142" s="282">
        <f t="shared" si="34"/>
        <v>-0.12067257072396949</v>
      </c>
      <c r="W142" s="282">
        <f t="shared" si="34"/>
        <v>-0.1269142554165886</v>
      </c>
      <c r="X142" s="282">
        <f t="shared" si="34"/>
        <v>-0.1269142554165886</v>
      </c>
      <c r="Y142" s="282">
        <f t="shared" si="34"/>
        <v>-0.12067257072396949</v>
      </c>
      <c r="Z142" s="282">
        <f t="shared" si="34"/>
        <v>-0.12067257072396949</v>
      </c>
      <c r="AA142" s="282">
        <f t="shared" si="34"/>
        <v>0</v>
      </c>
      <c r="AB142" s="282">
        <f t="shared" si="34"/>
        <v>0</v>
      </c>
      <c r="AC142" s="271"/>
      <c r="AD142" s="271"/>
    </row>
    <row r="143" spans="4:30" x14ac:dyDescent="0.25">
      <c r="D143" s="32"/>
      <c r="E143" s="32"/>
      <c r="F143" s="191" t="s">
        <v>197</v>
      </c>
      <c r="G143" t="s">
        <v>268</v>
      </c>
      <c r="H143" s="271"/>
      <c r="I143" s="271"/>
      <c r="J143" s="282">
        <f t="shared" ref="J143:AB143" si="36">hundred * $H38 * J63 / $H51 * J$78 / hours_in_year</f>
        <v>6.1050372551745752E-2</v>
      </c>
      <c r="K143" s="282">
        <f t="shared" si="36"/>
        <v>6.1050372551745752E-2</v>
      </c>
      <c r="L143" s="282">
        <f t="shared" si="36"/>
        <v>4.9029268175143387E-2</v>
      </c>
      <c r="M143" s="282">
        <f t="shared" si="36"/>
        <v>4.9029268175143387E-2</v>
      </c>
      <c r="N143" s="282">
        <f t="shared" si="36"/>
        <v>4.495814765391612E-2</v>
      </c>
      <c r="O143" s="282">
        <f t="shared" si="36"/>
        <v>3.540822116505131E-2</v>
      </c>
      <c r="P143" s="282">
        <f t="shared" si="36"/>
        <v>0</v>
      </c>
      <c r="Q143" s="282">
        <f t="shared" ref="Q143:S143" si="37">hundred * $H38 * Q63 / $H51 * Q$78 / hours_in_year</f>
        <v>4.495814765391612E-2</v>
      </c>
      <c r="R143" s="282">
        <f t="shared" si="37"/>
        <v>3.540822116505131E-2</v>
      </c>
      <c r="S143" s="282">
        <f t="shared" si="37"/>
        <v>0</v>
      </c>
      <c r="T143" s="282">
        <f t="shared" si="36"/>
        <v>6.44438339171855E-2</v>
      </c>
      <c r="U143" s="282">
        <f t="shared" si="36"/>
        <v>-3.1897146017325434E-2</v>
      </c>
      <c r="V143" s="282">
        <f t="shared" si="36"/>
        <v>0</v>
      </c>
      <c r="W143" s="282">
        <f t="shared" si="36"/>
        <v>-3.1897146017325434E-2</v>
      </c>
      <c r="X143" s="282">
        <f t="shared" si="36"/>
        <v>-3.1897146017325434E-2</v>
      </c>
      <c r="Y143" s="282">
        <f t="shared" si="36"/>
        <v>0</v>
      </c>
      <c r="Z143" s="282">
        <f t="shared" si="36"/>
        <v>0</v>
      </c>
      <c r="AA143" s="282">
        <f t="shared" si="36"/>
        <v>0</v>
      </c>
      <c r="AB143" s="282">
        <f t="shared" si="36"/>
        <v>0</v>
      </c>
      <c r="AC143" s="271"/>
      <c r="AD143" s="271"/>
    </row>
    <row r="144" spans="4:30" x14ac:dyDescent="0.25">
      <c r="D144" s="32"/>
      <c r="E144" s="32"/>
      <c r="F144" s="192" t="s">
        <v>198</v>
      </c>
      <c r="G144" s="37" t="s">
        <v>268</v>
      </c>
      <c r="H144" s="275"/>
      <c r="I144" s="275"/>
      <c r="J144" s="283">
        <f t="shared" ref="J144:AB144" si="38">hundred * $H39 * J64 / $H52 * J$78 / hours_in_year</f>
        <v>0.10268865679732846</v>
      </c>
      <c r="K144" s="283">
        <f t="shared" si="38"/>
        <v>0.10268865679732846</v>
      </c>
      <c r="L144" s="283">
        <f t="shared" si="38"/>
        <v>8.2468779177294435E-2</v>
      </c>
      <c r="M144" s="283">
        <f t="shared" si="38"/>
        <v>8.2468779177294435E-2</v>
      </c>
      <c r="N144" s="283">
        <f t="shared" si="38"/>
        <v>7.5621025748262932E-2</v>
      </c>
      <c r="O144" s="283">
        <f t="shared" si="38"/>
        <v>0</v>
      </c>
      <c r="P144" s="283">
        <f t="shared" si="38"/>
        <v>0</v>
      </c>
      <c r="Q144" s="283">
        <f t="shared" ref="Q144:S144" si="39">hundred * $H39 * Q64 / $H52 * Q$78 / hours_in_year</f>
        <v>7.5621025748262932E-2</v>
      </c>
      <c r="R144" s="283">
        <f t="shared" si="39"/>
        <v>0</v>
      </c>
      <c r="S144" s="283">
        <f t="shared" si="39"/>
        <v>0</v>
      </c>
      <c r="T144" s="283">
        <f t="shared" si="38"/>
        <v>0.10839656610148997</v>
      </c>
      <c r="U144" s="283">
        <f t="shared" si="38"/>
        <v>0</v>
      </c>
      <c r="V144" s="283">
        <f t="shared" si="38"/>
        <v>0</v>
      </c>
      <c r="W144" s="283">
        <f t="shared" si="38"/>
        <v>0</v>
      </c>
      <c r="X144" s="283">
        <f t="shared" si="38"/>
        <v>0</v>
      </c>
      <c r="Y144" s="283">
        <f t="shared" si="38"/>
        <v>0</v>
      </c>
      <c r="Z144" s="283">
        <f t="shared" si="38"/>
        <v>0</v>
      </c>
      <c r="AA144" s="283">
        <f t="shared" si="38"/>
        <v>0</v>
      </c>
      <c r="AB144" s="283">
        <f t="shared" si="38"/>
        <v>0</v>
      </c>
      <c r="AC144" s="271"/>
      <c r="AD144" s="271"/>
    </row>
    <row r="145" spans="3:30" x14ac:dyDescent="0.25">
      <c r="C145" s="32"/>
      <c r="D145" s="32"/>
      <c r="E145" s="32"/>
      <c r="J145" s="163"/>
      <c r="K145" s="163"/>
      <c r="L145" s="163"/>
      <c r="M145" s="163"/>
      <c r="N145" s="163"/>
      <c r="O145" s="163"/>
      <c r="P145" s="163"/>
      <c r="Q145" s="163"/>
      <c r="R145" s="163"/>
      <c r="S145" s="163"/>
      <c r="T145" s="163"/>
      <c r="U145" s="163"/>
      <c r="V145" s="163"/>
      <c r="W145" s="163"/>
      <c r="X145" s="163"/>
      <c r="Y145" s="163"/>
      <c r="Z145" s="163"/>
      <c r="AA145" s="163"/>
      <c r="AB145" s="163"/>
    </row>
    <row r="146" spans="3:30" x14ac:dyDescent="0.25">
      <c r="C146" s="31" t="str">
        <f ca="1">INDEX('Version control'!$H$34:$H$57,MATCH($A$1,'Version control'!$F$34:$F$57,0),1)&amp;"-C: Unit rate 1"</f>
        <v>Section 109-C: Unit rate 1</v>
      </c>
      <c r="D146" s="31"/>
      <c r="E146" s="31"/>
      <c r="F146" s="31"/>
      <c r="G146" s="31"/>
      <c r="H146" s="31"/>
      <c r="I146" s="31"/>
      <c r="J146" s="198"/>
      <c r="K146" s="198"/>
      <c r="L146" s="198"/>
      <c r="M146" s="198"/>
      <c r="N146" s="198"/>
      <c r="O146" s="198"/>
      <c r="P146" s="198"/>
      <c r="Q146" s="198"/>
      <c r="R146" s="198"/>
      <c r="S146" s="198"/>
      <c r="T146" s="198"/>
      <c r="U146" s="198"/>
      <c r="V146" s="198"/>
      <c r="W146" s="198"/>
      <c r="X146" s="198"/>
      <c r="Y146" s="198"/>
      <c r="Z146" s="198"/>
      <c r="AA146" s="198"/>
      <c r="AB146" s="198"/>
      <c r="AC146" s="31"/>
      <c r="AD146" s="31"/>
    </row>
    <row r="147" spans="3:30" x14ac:dyDescent="0.25">
      <c r="C147" s="32"/>
      <c r="D147" s="32"/>
      <c r="E147" s="32"/>
      <c r="J147" s="163"/>
      <c r="K147" s="163"/>
      <c r="L147" s="163"/>
      <c r="M147" s="163"/>
      <c r="N147" s="163"/>
      <c r="O147" s="163"/>
      <c r="P147" s="163"/>
      <c r="Q147" s="163"/>
      <c r="R147" s="163"/>
      <c r="S147" s="163"/>
      <c r="T147" s="163"/>
      <c r="U147" s="163"/>
      <c r="V147" s="163"/>
      <c r="W147" s="163"/>
      <c r="X147" s="163"/>
      <c r="Y147" s="163"/>
      <c r="Z147" s="163"/>
      <c r="AA147" s="163"/>
      <c r="AB147" s="163"/>
    </row>
    <row r="148" spans="3:30" x14ac:dyDescent="0.25">
      <c r="D148" s="29" t="s">
        <v>622</v>
      </c>
      <c r="E148" s="32"/>
      <c r="F148" s="32"/>
      <c r="J148" s="163"/>
      <c r="K148" s="163"/>
      <c r="L148" s="163"/>
      <c r="M148" s="163"/>
      <c r="N148" s="163"/>
      <c r="O148" s="163"/>
      <c r="P148" s="163"/>
      <c r="Q148" s="163"/>
      <c r="R148" s="163"/>
      <c r="S148" s="163"/>
      <c r="T148" s="163"/>
      <c r="U148" s="163"/>
      <c r="V148" s="163"/>
      <c r="W148" s="163"/>
      <c r="X148" s="163"/>
      <c r="Y148" s="163"/>
      <c r="Z148" s="163"/>
      <c r="AA148" s="163"/>
      <c r="AB148" s="163"/>
    </row>
    <row r="149" spans="3:30" x14ac:dyDescent="0.25">
      <c r="D149" s="29" t="s">
        <v>623</v>
      </c>
      <c r="E149" s="32"/>
      <c r="F149" s="32"/>
      <c r="J149" s="163"/>
      <c r="K149" s="163"/>
      <c r="L149" s="163"/>
      <c r="M149" s="163"/>
      <c r="N149" s="163"/>
      <c r="O149" s="163"/>
      <c r="P149" s="163"/>
      <c r="Q149" s="163"/>
      <c r="R149" s="163"/>
      <c r="S149" s="163"/>
      <c r="T149" s="163"/>
      <c r="U149" s="163"/>
      <c r="V149" s="163"/>
      <c r="W149" s="163"/>
      <c r="X149" s="163"/>
      <c r="Y149" s="163"/>
      <c r="Z149" s="163"/>
      <c r="AA149" s="163"/>
      <c r="AB149" s="163"/>
    </row>
    <row r="150" spans="3:30" x14ac:dyDescent="0.25">
      <c r="D150" s="32"/>
      <c r="E150" s="32"/>
      <c r="F150" s="32"/>
      <c r="I150" s="3" t="s">
        <v>153</v>
      </c>
      <c r="J150" s="163"/>
      <c r="K150" s="163"/>
      <c r="L150" s="163"/>
      <c r="M150" s="163"/>
      <c r="N150" s="163"/>
      <c r="O150" s="163"/>
      <c r="P150" s="163"/>
      <c r="Q150" s="163"/>
      <c r="R150" s="163"/>
      <c r="S150" s="163"/>
      <c r="T150" s="163"/>
      <c r="U150" s="163"/>
      <c r="V150" s="163"/>
      <c r="W150" s="163"/>
      <c r="X150" s="163"/>
      <c r="Y150" s="163"/>
      <c r="Z150" s="163"/>
      <c r="AA150" s="163"/>
      <c r="AB150" s="163"/>
      <c r="AD150" t="s">
        <v>624</v>
      </c>
    </row>
    <row r="151" spans="3:30" x14ac:dyDescent="0.25">
      <c r="E151" s="32" t="s">
        <v>620</v>
      </c>
      <c r="J151" s="163"/>
      <c r="K151" s="163"/>
      <c r="L151" s="163"/>
      <c r="M151" s="163"/>
      <c r="N151" s="163"/>
      <c r="O151" s="163"/>
      <c r="P151" s="163"/>
      <c r="Q151" s="163"/>
      <c r="R151" s="163"/>
      <c r="S151" s="163"/>
      <c r="T151" s="163"/>
      <c r="U151" s="163"/>
      <c r="V151" s="163"/>
      <c r="W151" s="163"/>
      <c r="X151" s="163"/>
      <c r="Y151" s="163"/>
      <c r="Z151" s="163"/>
      <c r="AA151" s="163"/>
      <c r="AB151" s="163"/>
    </row>
    <row r="152" spans="3:30" x14ac:dyDescent="0.25">
      <c r="E152" s="32"/>
      <c r="F152" s="190" t="s">
        <v>188</v>
      </c>
      <c r="G152" s="23" t="s">
        <v>268</v>
      </c>
      <c r="H152" s="269"/>
      <c r="I152" s="269"/>
      <c r="J152" s="281">
        <f t="shared" ref="J152:AB152" si="40">hundred * $H18 * J55 / $H43 * J81 * (1 - J67) / hours_in_year</f>
        <v>0</v>
      </c>
      <c r="K152" s="281">
        <f t="shared" si="40"/>
        <v>0</v>
      </c>
      <c r="L152" s="281">
        <f t="shared" si="40"/>
        <v>0</v>
      </c>
      <c r="M152" s="281">
        <f t="shared" si="40"/>
        <v>0</v>
      </c>
      <c r="N152" s="281">
        <f t="shared" si="40"/>
        <v>0</v>
      </c>
      <c r="O152" s="281">
        <f t="shared" si="40"/>
        <v>0</v>
      </c>
      <c r="P152" s="281">
        <f t="shared" si="40"/>
        <v>0</v>
      </c>
      <c r="Q152" s="281">
        <f t="shared" ref="Q152:S152" si="41">hundred * $H18 * Q55 / $H43 * Q81 * (1 - Q67) / hours_in_year</f>
        <v>0</v>
      </c>
      <c r="R152" s="281">
        <f t="shared" si="41"/>
        <v>0</v>
      </c>
      <c r="S152" s="281">
        <f t="shared" si="41"/>
        <v>0</v>
      </c>
      <c r="T152" s="281">
        <f t="shared" si="40"/>
        <v>0</v>
      </c>
      <c r="U152" s="281">
        <f t="shared" si="40"/>
        <v>0</v>
      </c>
      <c r="V152" s="281">
        <f t="shared" si="40"/>
        <v>0</v>
      </c>
      <c r="W152" s="281">
        <f t="shared" si="40"/>
        <v>0</v>
      </c>
      <c r="X152" s="281">
        <f t="shared" si="40"/>
        <v>0</v>
      </c>
      <c r="Y152" s="281">
        <f t="shared" si="40"/>
        <v>0</v>
      </c>
      <c r="Z152" s="281">
        <f t="shared" si="40"/>
        <v>0</v>
      </c>
      <c r="AA152" s="281">
        <f t="shared" si="40"/>
        <v>0</v>
      </c>
      <c r="AB152" s="281">
        <f t="shared" si="40"/>
        <v>0</v>
      </c>
      <c r="AC152" s="271"/>
      <c r="AD152" s="271"/>
    </row>
    <row r="153" spans="3:30" x14ac:dyDescent="0.25">
      <c r="E153" s="32"/>
      <c r="F153" s="191" t="s">
        <v>190</v>
      </c>
      <c r="G153" t="s">
        <v>268</v>
      </c>
      <c r="H153" s="271"/>
      <c r="I153" s="271"/>
      <c r="J153" s="282">
        <f t="shared" ref="J153:AB153" si="42">hundred * $H19 * J56 / $H44 * J82 * (1 - J68) / hours_in_year</f>
        <v>0</v>
      </c>
      <c r="K153" s="282">
        <f t="shared" si="42"/>
        <v>0</v>
      </c>
      <c r="L153" s="282">
        <f t="shared" si="42"/>
        <v>0</v>
      </c>
      <c r="M153" s="282">
        <f t="shared" si="42"/>
        <v>0</v>
      </c>
      <c r="N153" s="282">
        <f t="shared" si="42"/>
        <v>0</v>
      </c>
      <c r="O153" s="282">
        <f t="shared" si="42"/>
        <v>0</v>
      </c>
      <c r="P153" s="282">
        <f t="shared" si="42"/>
        <v>0</v>
      </c>
      <c r="Q153" s="282">
        <f t="shared" ref="Q153:S153" si="43">hundred * $H19 * Q56 / $H44 * Q82 * (1 - Q68) / hours_in_year</f>
        <v>0</v>
      </c>
      <c r="R153" s="282">
        <f t="shared" si="43"/>
        <v>0</v>
      </c>
      <c r="S153" s="282">
        <f t="shared" si="43"/>
        <v>0</v>
      </c>
      <c r="T153" s="282">
        <f t="shared" si="42"/>
        <v>0</v>
      </c>
      <c r="U153" s="282">
        <f t="shared" si="42"/>
        <v>0</v>
      </c>
      <c r="V153" s="282">
        <f t="shared" si="42"/>
        <v>0</v>
      </c>
      <c r="W153" s="282">
        <f t="shared" si="42"/>
        <v>0</v>
      </c>
      <c r="X153" s="282">
        <f t="shared" si="42"/>
        <v>0</v>
      </c>
      <c r="Y153" s="282">
        <f t="shared" si="42"/>
        <v>0</v>
      </c>
      <c r="Z153" s="282">
        <f t="shared" si="42"/>
        <v>0</v>
      </c>
      <c r="AA153" s="282">
        <f t="shared" si="42"/>
        <v>0</v>
      </c>
      <c r="AB153" s="282">
        <f t="shared" si="42"/>
        <v>0</v>
      </c>
      <c r="AC153" s="271"/>
      <c r="AD153" s="271"/>
    </row>
    <row r="154" spans="3:30" x14ac:dyDescent="0.25">
      <c r="E154" s="32"/>
      <c r="F154" s="191" t="s">
        <v>191</v>
      </c>
      <c r="G154" t="s">
        <v>268</v>
      </c>
      <c r="H154" s="271"/>
      <c r="I154" s="271"/>
      <c r="J154" s="282">
        <f t="shared" ref="J154:AB154" si="44">hundred * $H20 * J57 / $H45 * J83 * (1 - J69) / hours_in_year</f>
        <v>0</v>
      </c>
      <c r="K154" s="282">
        <f t="shared" si="44"/>
        <v>0</v>
      </c>
      <c r="L154" s="282">
        <f t="shared" si="44"/>
        <v>0</v>
      </c>
      <c r="M154" s="282">
        <f t="shared" si="44"/>
        <v>0</v>
      </c>
      <c r="N154" s="282">
        <f t="shared" si="44"/>
        <v>0</v>
      </c>
      <c r="O154" s="282">
        <f t="shared" si="44"/>
        <v>0</v>
      </c>
      <c r="P154" s="282">
        <f t="shared" si="44"/>
        <v>0</v>
      </c>
      <c r="Q154" s="282">
        <f t="shared" ref="Q154:S154" si="45">hundred * $H20 * Q57 / $H45 * Q83 * (1 - Q69) / hours_in_year</f>
        <v>0</v>
      </c>
      <c r="R154" s="282">
        <f t="shared" si="45"/>
        <v>0</v>
      </c>
      <c r="S154" s="282">
        <f t="shared" si="45"/>
        <v>0</v>
      </c>
      <c r="T154" s="282">
        <f t="shared" si="44"/>
        <v>0</v>
      </c>
      <c r="U154" s="282">
        <f t="shared" si="44"/>
        <v>0</v>
      </c>
      <c r="V154" s="282">
        <f t="shared" si="44"/>
        <v>0</v>
      </c>
      <c r="W154" s="282">
        <f t="shared" si="44"/>
        <v>0</v>
      </c>
      <c r="X154" s="282">
        <f t="shared" si="44"/>
        <v>0</v>
      </c>
      <c r="Y154" s="282">
        <f t="shared" si="44"/>
        <v>0</v>
      </c>
      <c r="Z154" s="282">
        <f t="shared" si="44"/>
        <v>0</v>
      </c>
      <c r="AA154" s="282">
        <f t="shared" si="44"/>
        <v>0</v>
      </c>
      <c r="AB154" s="282">
        <f t="shared" si="44"/>
        <v>0</v>
      </c>
      <c r="AC154" s="271"/>
      <c r="AD154" s="271"/>
    </row>
    <row r="155" spans="3:30" x14ac:dyDescent="0.25">
      <c r="E155" s="32"/>
      <c r="F155" s="191" t="s">
        <v>192</v>
      </c>
      <c r="G155" t="s">
        <v>268</v>
      </c>
      <c r="H155" s="271"/>
      <c r="I155" s="271"/>
      <c r="J155" s="282">
        <f t="shared" ref="J155:AB155" si="46">hundred * $H21 * J58 / $H46 * J84 * (1 - J70) / hours_in_year</f>
        <v>0</v>
      </c>
      <c r="K155" s="282">
        <f t="shared" si="46"/>
        <v>0</v>
      </c>
      <c r="L155" s="282">
        <f t="shared" si="46"/>
        <v>0</v>
      </c>
      <c r="M155" s="282">
        <f t="shared" si="46"/>
        <v>0</v>
      </c>
      <c r="N155" s="282">
        <f t="shared" si="46"/>
        <v>0</v>
      </c>
      <c r="O155" s="282">
        <f t="shared" si="46"/>
        <v>0</v>
      </c>
      <c r="P155" s="282">
        <f t="shared" si="46"/>
        <v>0</v>
      </c>
      <c r="Q155" s="282">
        <f t="shared" ref="Q155:S155" si="47">hundred * $H21 * Q58 / $H46 * Q84 * (1 - Q70) / hours_in_year</f>
        <v>0</v>
      </c>
      <c r="R155" s="282">
        <f t="shared" si="47"/>
        <v>0</v>
      </c>
      <c r="S155" s="282">
        <f t="shared" si="47"/>
        <v>0</v>
      </c>
      <c r="T155" s="282">
        <f t="shared" si="46"/>
        <v>0</v>
      </c>
      <c r="U155" s="282">
        <f t="shared" si="46"/>
        <v>0</v>
      </c>
      <c r="V155" s="282">
        <f t="shared" si="46"/>
        <v>0</v>
      </c>
      <c r="W155" s="282">
        <f t="shared" si="46"/>
        <v>0</v>
      </c>
      <c r="X155" s="282">
        <f t="shared" si="46"/>
        <v>0</v>
      </c>
      <c r="Y155" s="282">
        <f t="shared" si="46"/>
        <v>0</v>
      </c>
      <c r="Z155" s="282">
        <f t="shared" si="46"/>
        <v>0</v>
      </c>
      <c r="AA155" s="282">
        <f t="shared" si="46"/>
        <v>0</v>
      </c>
      <c r="AB155" s="282">
        <f t="shared" si="46"/>
        <v>0</v>
      </c>
      <c r="AC155" s="271"/>
      <c r="AD155" s="271"/>
    </row>
    <row r="156" spans="3:30" x14ac:dyDescent="0.25">
      <c r="E156" s="32"/>
      <c r="F156" s="191" t="s">
        <v>193</v>
      </c>
      <c r="G156" t="s">
        <v>268</v>
      </c>
      <c r="H156" s="271"/>
      <c r="I156" s="271"/>
      <c r="J156" s="282">
        <f t="shared" ref="J156:AB156" si="48">hundred * $H22 * J59 / $H47 * J85 * (1 - J71) / hours_in_year</f>
        <v>1.7958309065063878</v>
      </c>
      <c r="K156" s="282">
        <f t="shared" si="48"/>
        <v>1.7958309065063878</v>
      </c>
      <c r="L156" s="282">
        <f t="shared" si="48"/>
        <v>2.0858666866723046</v>
      </c>
      <c r="M156" s="282">
        <f t="shared" si="48"/>
        <v>2.0858666866723046</v>
      </c>
      <c r="N156" s="282">
        <f t="shared" si="48"/>
        <v>1.612431896562593</v>
      </c>
      <c r="O156" s="282">
        <f t="shared" si="48"/>
        <v>1.3114528318518921</v>
      </c>
      <c r="P156" s="282">
        <f t="shared" si="48"/>
        <v>1.267502927171626</v>
      </c>
      <c r="Q156" s="282">
        <f t="shared" ref="Q156:S156" si="49">hundred * $H22 * Q59 / $H47 * Q85 * (1 - Q71) / hours_in_year</f>
        <v>1.612431896562593</v>
      </c>
      <c r="R156" s="282">
        <f t="shared" si="49"/>
        <v>1.3114528318518921</v>
      </c>
      <c r="S156" s="282">
        <f t="shared" si="49"/>
        <v>1.267502927171626</v>
      </c>
      <c r="T156" s="282">
        <f t="shared" si="48"/>
        <v>3.8982206606005354</v>
      </c>
      <c r="U156" s="282">
        <f t="shared" si="48"/>
        <v>-1.2842072914547749</v>
      </c>
      <c r="V156" s="282">
        <f t="shared" si="48"/>
        <v>-1.2210495558094581</v>
      </c>
      <c r="W156" s="282">
        <f t="shared" si="48"/>
        <v>-1.2842072914547749</v>
      </c>
      <c r="X156" s="282">
        <f t="shared" si="48"/>
        <v>-1.2842072914547749</v>
      </c>
      <c r="Y156" s="282">
        <f t="shared" si="48"/>
        <v>-1.2210495558094581</v>
      </c>
      <c r="Z156" s="282">
        <f t="shared" si="48"/>
        <v>-1.2210495558094581</v>
      </c>
      <c r="AA156" s="282">
        <f t="shared" si="48"/>
        <v>-1.1626764971069683</v>
      </c>
      <c r="AB156" s="282">
        <f t="shared" si="48"/>
        <v>-1.1626764971069683</v>
      </c>
      <c r="AC156" s="271"/>
      <c r="AD156" s="271"/>
    </row>
    <row r="157" spans="3:30" x14ac:dyDescent="0.25">
      <c r="E157" s="32"/>
      <c r="F157" s="191" t="s">
        <v>194</v>
      </c>
      <c r="G157" t="s">
        <v>268</v>
      </c>
      <c r="H157" s="271"/>
      <c r="I157" s="271"/>
      <c r="J157" s="282">
        <f t="shared" ref="J157:AB157" si="50">hundred * $H23 * J60 / $H48 * J86 * (1 - J72) / hours_in_year</f>
        <v>0.40311898458711498</v>
      </c>
      <c r="K157" s="282">
        <f t="shared" si="50"/>
        <v>0.40311898458711498</v>
      </c>
      <c r="L157" s="282">
        <f t="shared" si="50"/>
        <v>0.46822474079768722</v>
      </c>
      <c r="M157" s="282">
        <f t="shared" si="50"/>
        <v>0.46822474079768722</v>
      </c>
      <c r="N157" s="282">
        <f t="shared" si="50"/>
        <v>0.36195050798112338</v>
      </c>
      <c r="O157" s="282">
        <f t="shared" si="50"/>
        <v>0.29438825893608744</v>
      </c>
      <c r="P157" s="282">
        <f t="shared" si="50"/>
        <v>0.2519203606932246</v>
      </c>
      <c r="Q157" s="282">
        <f t="shared" ref="Q157:S157" si="51">hundred * $H23 * Q60 / $H48 * Q86 * (1 - Q72) / hours_in_year</f>
        <v>0.36195050798112338</v>
      </c>
      <c r="R157" s="282">
        <f t="shared" si="51"/>
        <v>0.29438825893608744</v>
      </c>
      <c r="S157" s="282">
        <f t="shared" si="51"/>
        <v>0.2519203606932246</v>
      </c>
      <c r="T157" s="282">
        <f t="shared" si="50"/>
        <v>0.90142027187854401</v>
      </c>
      <c r="U157" s="282">
        <f t="shared" si="50"/>
        <v>-0.28827231865483915</v>
      </c>
      <c r="V157" s="282">
        <f t="shared" si="50"/>
        <v>-0.27409499150787986</v>
      </c>
      <c r="W157" s="282">
        <f t="shared" si="50"/>
        <v>-0.28827231865483915</v>
      </c>
      <c r="X157" s="282">
        <f t="shared" si="50"/>
        <v>-0.28827231865483915</v>
      </c>
      <c r="Y157" s="282">
        <f t="shared" si="50"/>
        <v>-0.27409499150787986</v>
      </c>
      <c r="Z157" s="282">
        <f t="shared" si="50"/>
        <v>-0.27409499150787986</v>
      </c>
      <c r="AA157" s="282">
        <f t="shared" si="50"/>
        <v>-0.23108576417596077</v>
      </c>
      <c r="AB157" s="282">
        <f t="shared" si="50"/>
        <v>-0.23108576417596077</v>
      </c>
      <c r="AC157" s="271"/>
      <c r="AD157" s="271"/>
    </row>
    <row r="158" spans="3:30" x14ac:dyDescent="0.25">
      <c r="E158" s="32"/>
      <c r="F158" s="191" t="s">
        <v>195</v>
      </c>
      <c r="G158" t="s">
        <v>268</v>
      </c>
      <c r="H158" s="271"/>
      <c r="I158" s="271"/>
      <c r="J158" s="282">
        <f t="shared" ref="J158:AB158" si="52">hundred * $H24 * J61 / $H49 * J87 * (1 - J73) / hours_in_year</f>
        <v>0</v>
      </c>
      <c r="K158" s="282">
        <f t="shared" si="52"/>
        <v>0</v>
      </c>
      <c r="L158" s="282">
        <f t="shared" si="52"/>
        <v>0</v>
      </c>
      <c r="M158" s="282">
        <f t="shared" si="52"/>
        <v>0</v>
      </c>
      <c r="N158" s="282">
        <f t="shared" si="52"/>
        <v>0</v>
      </c>
      <c r="O158" s="282">
        <f t="shared" si="52"/>
        <v>0</v>
      </c>
      <c r="P158" s="282">
        <f t="shared" si="52"/>
        <v>0</v>
      </c>
      <c r="Q158" s="282">
        <f t="shared" ref="Q158:S158" si="53">hundred * $H24 * Q61 / $H49 * Q87 * (1 - Q73) / hours_in_year</f>
        <v>0</v>
      </c>
      <c r="R158" s="282">
        <f t="shared" si="53"/>
        <v>0</v>
      </c>
      <c r="S158" s="282">
        <f t="shared" si="53"/>
        <v>0</v>
      </c>
      <c r="T158" s="282">
        <f t="shared" si="52"/>
        <v>0</v>
      </c>
      <c r="U158" s="282">
        <f t="shared" si="52"/>
        <v>0</v>
      </c>
      <c r="V158" s="282">
        <f t="shared" si="52"/>
        <v>0</v>
      </c>
      <c r="W158" s="282">
        <f t="shared" si="52"/>
        <v>0</v>
      </c>
      <c r="X158" s="282">
        <f t="shared" si="52"/>
        <v>0</v>
      </c>
      <c r="Y158" s="282">
        <f t="shared" si="52"/>
        <v>0</v>
      </c>
      <c r="Z158" s="282">
        <f t="shared" si="52"/>
        <v>0</v>
      </c>
      <c r="AA158" s="282">
        <f t="shared" si="52"/>
        <v>0</v>
      </c>
      <c r="AB158" s="282">
        <f t="shared" si="52"/>
        <v>0</v>
      </c>
      <c r="AC158" s="271"/>
      <c r="AD158" s="271"/>
    </row>
    <row r="159" spans="3:30" x14ac:dyDescent="0.25">
      <c r="E159" s="32"/>
      <c r="F159" s="191" t="s">
        <v>196</v>
      </c>
      <c r="G159" t="s">
        <v>268</v>
      </c>
      <c r="H159" s="271"/>
      <c r="I159" s="271"/>
      <c r="J159" s="282">
        <f t="shared" ref="J159:AB159" si="54">hundred * $H25 * J62 / $H50 * J88 * (1 - J74) / hours_in_year</f>
        <v>1.3862526519345733</v>
      </c>
      <c r="K159" s="282">
        <f t="shared" si="54"/>
        <v>1.3862526519345733</v>
      </c>
      <c r="L159" s="282">
        <f t="shared" si="54"/>
        <v>1.6101394710967898</v>
      </c>
      <c r="M159" s="282">
        <f t="shared" si="54"/>
        <v>1.6101394710967898</v>
      </c>
      <c r="N159" s="282">
        <f t="shared" si="54"/>
        <v>1.2446817707476834</v>
      </c>
      <c r="O159" s="282">
        <f t="shared" si="54"/>
        <v>1.0123475208356565</v>
      </c>
      <c r="P159" s="282">
        <f t="shared" si="54"/>
        <v>0.69296942312551713</v>
      </c>
      <c r="Q159" s="282">
        <f t="shared" ref="Q159:S159" si="55">hundred * $H25 * Q62 / $H50 * Q88 * (1 - Q74) / hours_in_year</f>
        <v>1.2446817707476834</v>
      </c>
      <c r="R159" s="282">
        <f t="shared" si="55"/>
        <v>1.0123475208356565</v>
      </c>
      <c r="S159" s="282">
        <f t="shared" si="55"/>
        <v>0.69296942312551713</v>
      </c>
      <c r="T159" s="282">
        <f t="shared" si="54"/>
        <v>3.0998198799272254</v>
      </c>
      <c r="U159" s="282">
        <f t="shared" si="54"/>
        <v>-0.99131591786454487</v>
      </c>
      <c r="V159" s="282">
        <f t="shared" si="54"/>
        <v>-0.94256267600235399</v>
      </c>
      <c r="W159" s="282">
        <f t="shared" si="54"/>
        <v>-0.99131591786454487</v>
      </c>
      <c r="X159" s="282">
        <f t="shared" si="54"/>
        <v>-0.99131591786454487</v>
      </c>
      <c r="Y159" s="282">
        <f t="shared" si="54"/>
        <v>-0.94256267600235399</v>
      </c>
      <c r="Z159" s="282">
        <f t="shared" si="54"/>
        <v>-0.94256267600235399</v>
      </c>
      <c r="AA159" s="282">
        <f t="shared" si="54"/>
        <v>0</v>
      </c>
      <c r="AB159" s="282">
        <f t="shared" si="54"/>
        <v>0</v>
      </c>
      <c r="AC159" s="271"/>
      <c r="AD159" s="271"/>
    </row>
    <row r="160" spans="3:30" x14ac:dyDescent="0.25">
      <c r="E160" s="32"/>
      <c r="F160" s="191" t="s">
        <v>197</v>
      </c>
      <c r="G160" t="s">
        <v>268</v>
      </c>
      <c r="H160" s="271"/>
      <c r="I160" s="271"/>
      <c r="J160" s="282">
        <f t="shared" ref="J160:AB160" si="56">hundred * $H26 * J63 / $H51 * J89 * (1 - J75) / hours_in_year</f>
        <v>0.31831573206254088</v>
      </c>
      <c r="K160" s="282">
        <f t="shared" si="56"/>
        <v>0.31831573206254088</v>
      </c>
      <c r="L160" s="282">
        <f t="shared" si="56"/>
        <v>0.36972533379806782</v>
      </c>
      <c r="M160" s="282">
        <f t="shared" si="56"/>
        <v>0.36972533379806782</v>
      </c>
      <c r="N160" s="282">
        <f t="shared" si="56"/>
        <v>0.2858077771664006</v>
      </c>
      <c r="O160" s="282">
        <f t="shared" si="56"/>
        <v>0.23245844958117295</v>
      </c>
      <c r="P160" s="282">
        <f t="shared" si="56"/>
        <v>0</v>
      </c>
      <c r="Q160" s="282">
        <f t="shared" ref="Q160:S160" si="57">hundred * $H26 * Q63 / $H51 * Q89 * (1 - Q75) / hours_in_year</f>
        <v>0.2858077771664006</v>
      </c>
      <c r="R160" s="282">
        <f t="shared" si="57"/>
        <v>0.23245844958117295</v>
      </c>
      <c r="S160" s="282">
        <f t="shared" si="57"/>
        <v>0</v>
      </c>
      <c r="T160" s="282">
        <f t="shared" si="56"/>
        <v>0.71179047554141128</v>
      </c>
      <c r="U160" s="282">
        <f t="shared" si="56"/>
        <v>-0.22762910618056312</v>
      </c>
      <c r="V160" s="282">
        <f t="shared" si="56"/>
        <v>0</v>
      </c>
      <c r="W160" s="282">
        <f t="shared" si="56"/>
        <v>-0.22762910618056312</v>
      </c>
      <c r="X160" s="282">
        <f t="shared" si="56"/>
        <v>-0.22762910618056312</v>
      </c>
      <c r="Y160" s="282">
        <f t="shared" si="56"/>
        <v>0</v>
      </c>
      <c r="Z160" s="282">
        <f t="shared" si="56"/>
        <v>0</v>
      </c>
      <c r="AA160" s="282">
        <f t="shared" si="56"/>
        <v>0</v>
      </c>
      <c r="AB160" s="282">
        <f t="shared" si="56"/>
        <v>0</v>
      </c>
      <c r="AC160" s="271"/>
      <c r="AD160" s="271"/>
    </row>
    <row r="161" spans="3:30" x14ac:dyDescent="0.25">
      <c r="E161" s="32"/>
      <c r="F161" s="192" t="s">
        <v>198</v>
      </c>
      <c r="G161" s="37" t="s">
        <v>268</v>
      </c>
      <c r="H161" s="275"/>
      <c r="I161" s="275"/>
      <c r="J161" s="283">
        <f t="shared" ref="J161:AB161" si="58">hundred * $H27 * J64 / $H52 * J90 * (1 - J76) / hours_in_year</f>
        <v>5.5924951462990508E-2</v>
      </c>
      <c r="K161" s="283">
        <f t="shared" si="58"/>
        <v>5.5924951462990508E-2</v>
      </c>
      <c r="L161" s="283">
        <f t="shared" si="58"/>
        <v>6.4957114162464455E-2</v>
      </c>
      <c r="M161" s="283">
        <f t="shared" si="58"/>
        <v>6.4957114162464455E-2</v>
      </c>
      <c r="N161" s="283">
        <f t="shared" si="58"/>
        <v>5.0213622689046861E-2</v>
      </c>
      <c r="O161" s="283">
        <f t="shared" si="58"/>
        <v>0</v>
      </c>
      <c r="P161" s="283">
        <f t="shared" si="58"/>
        <v>0</v>
      </c>
      <c r="Q161" s="283">
        <f t="shared" ref="Q161:S161" si="59">hundred * $H27 * Q64 / $H52 * Q90 * (1 - Q76) / hours_in_year</f>
        <v>5.0213622689046861E-2</v>
      </c>
      <c r="R161" s="283">
        <f t="shared" si="59"/>
        <v>0</v>
      </c>
      <c r="S161" s="283">
        <f t="shared" si="59"/>
        <v>0</v>
      </c>
      <c r="T161" s="283">
        <f t="shared" si="58"/>
        <v>0.12505460392592638</v>
      </c>
      <c r="U161" s="283">
        <f t="shared" si="58"/>
        <v>0</v>
      </c>
      <c r="V161" s="283">
        <f t="shared" si="58"/>
        <v>0</v>
      </c>
      <c r="W161" s="283">
        <f t="shared" si="58"/>
        <v>0</v>
      </c>
      <c r="X161" s="283">
        <f t="shared" si="58"/>
        <v>0</v>
      </c>
      <c r="Y161" s="283">
        <f t="shared" si="58"/>
        <v>0</v>
      </c>
      <c r="Z161" s="283">
        <f t="shared" si="58"/>
        <v>0</v>
      </c>
      <c r="AA161" s="283">
        <f t="shared" si="58"/>
        <v>0</v>
      </c>
      <c r="AB161" s="283">
        <f t="shared" si="58"/>
        <v>0</v>
      </c>
      <c r="AC161" s="271"/>
      <c r="AD161" s="271"/>
    </row>
    <row r="162" spans="3:30" x14ac:dyDescent="0.25">
      <c r="E162" s="32"/>
      <c r="F162" s="191"/>
      <c r="J162" s="163"/>
      <c r="K162" s="163"/>
      <c r="L162" s="163"/>
      <c r="M162" s="163"/>
      <c r="N162" s="163"/>
      <c r="O162" s="163"/>
      <c r="P162" s="163"/>
      <c r="Q162" s="163"/>
      <c r="R162" s="163"/>
      <c r="S162" s="163"/>
      <c r="T162" s="163"/>
      <c r="U162" s="163"/>
      <c r="V162" s="163"/>
      <c r="W162" s="163"/>
      <c r="X162" s="163"/>
      <c r="Y162" s="163"/>
      <c r="Z162" s="163"/>
      <c r="AA162" s="163"/>
      <c r="AB162" s="163"/>
    </row>
    <row r="163" spans="3:30" x14ac:dyDescent="0.25">
      <c r="E163" s="32" t="s">
        <v>621</v>
      </c>
      <c r="J163" s="163"/>
      <c r="K163" s="163"/>
      <c r="L163" s="163"/>
      <c r="M163" s="163"/>
      <c r="N163" s="163"/>
      <c r="O163" s="163"/>
      <c r="P163" s="163"/>
      <c r="Q163" s="163"/>
      <c r="R163" s="163"/>
      <c r="S163" s="163"/>
      <c r="T163" s="163"/>
      <c r="U163" s="163"/>
      <c r="V163" s="163"/>
      <c r="W163" s="163"/>
      <c r="X163" s="163"/>
      <c r="Y163" s="163"/>
      <c r="Z163" s="163"/>
      <c r="AA163" s="163"/>
      <c r="AB163" s="163"/>
    </row>
    <row r="164" spans="3:30" x14ac:dyDescent="0.25">
      <c r="D164" s="32"/>
      <c r="E164" s="32"/>
      <c r="F164" s="190" t="s">
        <v>188</v>
      </c>
      <c r="G164" s="23" t="s">
        <v>268</v>
      </c>
      <c r="H164" s="269"/>
      <c r="I164" s="269"/>
      <c r="J164" s="281">
        <f t="shared" ref="J164:AB164" si="60">hundred * $H30 * J55 / $H43 * J81 / hours_in_year</f>
        <v>1.8751515036073518</v>
      </c>
      <c r="K164" s="281">
        <f t="shared" si="60"/>
        <v>1.8751515036073518</v>
      </c>
      <c r="L164" s="281">
        <f t="shared" si="60"/>
        <v>2.1779979616494836</v>
      </c>
      <c r="M164" s="281">
        <f t="shared" si="60"/>
        <v>2.1779979616494836</v>
      </c>
      <c r="N164" s="281">
        <f t="shared" si="60"/>
        <v>1.6836518874629611</v>
      </c>
      <c r="O164" s="281">
        <f t="shared" si="60"/>
        <v>1.369378787639463</v>
      </c>
      <c r="P164" s="281">
        <f t="shared" si="60"/>
        <v>1.3659699658727382</v>
      </c>
      <c r="Q164" s="281">
        <f t="shared" ref="Q164:S164" si="61">hundred * $H30 * Q55 / $H43 * Q81 / hours_in_year</f>
        <v>1.6836518874629611</v>
      </c>
      <c r="R164" s="281">
        <f t="shared" si="61"/>
        <v>1.369378787639463</v>
      </c>
      <c r="S164" s="281">
        <f t="shared" si="61"/>
        <v>1.3659699658727382</v>
      </c>
      <c r="T164" s="281">
        <f t="shared" si="60"/>
        <v>4.0704023450285449</v>
      </c>
      <c r="U164" s="281">
        <f t="shared" si="60"/>
        <v>-1.3409298307487285</v>
      </c>
      <c r="V164" s="281">
        <f t="shared" si="60"/>
        <v>-1.2749824620233809</v>
      </c>
      <c r="W164" s="281">
        <f t="shared" si="60"/>
        <v>-1.3409298307487285</v>
      </c>
      <c r="X164" s="281">
        <f t="shared" si="60"/>
        <v>-1.3409298307487285</v>
      </c>
      <c r="Y164" s="281">
        <f t="shared" si="60"/>
        <v>-1.2749824620233809</v>
      </c>
      <c r="Z164" s="281">
        <f t="shared" si="60"/>
        <v>-1.2749824620233809</v>
      </c>
      <c r="AA164" s="281">
        <f t="shared" si="60"/>
        <v>-1.2530000057815984</v>
      </c>
      <c r="AB164" s="281">
        <f t="shared" si="60"/>
        <v>-1.2530000057815984</v>
      </c>
      <c r="AC164" s="271"/>
      <c r="AD164" s="271"/>
    </row>
    <row r="165" spans="3:30" x14ac:dyDescent="0.25">
      <c r="D165" s="32"/>
      <c r="E165" s="32"/>
      <c r="F165" s="191" t="s">
        <v>190</v>
      </c>
      <c r="G165" t="s">
        <v>268</v>
      </c>
      <c r="H165" s="271"/>
      <c r="I165" s="271"/>
      <c r="J165" s="282">
        <f t="shared" ref="J165:AB165" si="62">hundred * $H31 * J56 / $H44 * J82 / hours_in_year</f>
        <v>0</v>
      </c>
      <c r="K165" s="282">
        <f t="shared" si="62"/>
        <v>0</v>
      </c>
      <c r="L165" s="282">
        <f t="shared" si="62"/>
        <v>0</v>
      </c>
      <c r="M165" s="282">
        <f t="shared" si="62"/>
        <v>0</v>
      </c>
      <c r="N165" s="282">
        <f t="shared" si="62"/>
        <v>0</v>
      </c>
      <c r="O165" s="282">
        <f t="shared" si="62"/>
        <v>0</v>
      </c>
      <c r="P165" s="282">
        <f t="shared" si="62"/>
        <v>0</v>
      </c>
      <c r="Q165" s="282">
        <f t="shared" ref="Q165:S165" si="63">hundred * $H31 * Q56 / $H44 * Q82 / hours_in_year</f>
        <v>0</v>
      </c>
      <c r="R165" s="282">
        <f t="shared" si="63"/>
        <v>0</v>
      </c>
      <c r="S165" s="282">
        <f t="shared" si="63"/>
        <v>0</v>
      </c>
      <c r="T165" s="282">
        <f t="shared" si="62"/>
        <v>0</v>
      </c>
      <c r="U165" s="282">
        <f t="shared" si="62"/>
        <v>0</v>
      </c>
      <c r="V165" s="282">
        <f t="shared" si="62"/>
        <v>0</v>
      </c>
      <c r="W165" s="282">
        <f t="shared" si="62"/>
        <v>0</v>
      </c>
      <c r="X165" s="282">
        <f t="shared" si="62"/>
        <v>0</v>
      </c>
      <c r="Y165" s="282">
        <f t="shared" si="62"/>
        <v>0</v>
      </c>
      <c r="Z165" s="282">
        <f t="shared" si="62"/>
        <v>0</v>
      </c>
      <c r="AA165" s="282">
        <f t="shared" si="62"/>
        <v>0</v>
      </c>
      <c r="AB165" s="282">
        <f t="shared" si="62"/>
        <v>0</v>
      </c>
      <c r="AC165" s="271"/>
      <c r="AD165" s="271"/>
    </row>
    <row r="166" spans="3:30" x14ac:dyDescent="0.25">
      <c r="D166" s="32"/>
      <c r="E166" s="32"/>
      <c r="F166" s="191" t="s">
        <v>191</v>
      </c>
      <c r="G166" t="s">
        <v>268</v>
      </c>
      <c r="H166" s="271"/>
      <c r="I166" s="271"/>
      <c r="J166" s="282">
        <f t="shared" ref="J166:AB166" si="64">hundred * $H32 * J57 / $H45 * J83 / hours_in_year</f>
        <v>0</v>
      </c>
      <c r="K166" s="282">
        <f t="shared" si="64"/>
        <v>0</v>
      </c>
      <c r="L166" s="282">
        <f t="shared" si="64"/>
        <v>0</v>
      </c>
      <c r="M166" s="282">
        <f t="shared" si="64"/>
        <v>0</v>
      </c>
      <c r="N166" s="282">
        <f t="shared" si="64"/>
        <v>0</v>
      </c>
      <c r="O166" s="282">
        <f t="shared" si="64"/>
        <v>0</v>
      </c>
      <c r="P166" s="282">
        <f t="shared" si="64"/>
        <v>0</v>
      </c>
      <c r="Q166" s="282">
        <f t="shared" ref="Q166:S166" si="65">hundred * $H32 * Q57 / $H45 * Q83 / hours_in_year</f>
        <v>0</v>
      </c>
      <c r="R166" s="282">
        <f t="shared" si="65"/>
        <v>0</v>
      </c>
      <c r="S166" s="282">
        <f t="shared" si="65"/>
        <v>0</v>
      </c>
      <c r="T166" s="282">
        <f t="shared" si="64"/>
        <v>0</v>
      </c>
      <c r="U166" s="282">
        <f t="shared" si="64"/>
        <v>0</v>
      </c>
      <c r="V166" s="282">
        <f t="shared" si="64"/>
        <v>0</v>
      </c>
      <c r="W166" s="282">
        <f t="shared" si="64"/>
        <v>0</v>
      </c>
      <c r="X166" s="282">
        <f t="shared" si="64"/>
        <v>0</v>
      </c>
      <c r="Y166" s="282">
        <f t="shared" si="64"/>
        <v>0</v>
      </c>
      <c r="Z166" s="282">
        <f t="shared" si="64"/>
        <v>0</v>
      </c>
      <c r="AA166" s="282">
        <f t="shared" si="64"/>
        <v>0</v>
      </c>
      <c r="AB166" s="282">
        <f t="shared" si="64"/>
        <v>0</v>
      </c>
      <c r="AC166" s="271"/>
      <c r="AD166" s="271"/>
    </row>
    <row r="167" spans="3:30" x14ac:dyDescent="0.25">
      <c r="D167" s="32"/>
      <c r="E167" s="32"/>
      <c r="F167" s="191" t="s">
        <v>192</v>
      </c>
      <c r="G167" t="s">
        <v>268</v>
      </c>
      <c r="H167" s="271"/>
      <c r="I167" s="271"/>
      <c r="J167" s="282">
        <f t="shared" ref="J167:AB167" si="66">hundred * $H33 * J58 / $H46 * J84 / hours_in_year</f>
        <v>0</v>
      </c>
      <c r="K167" s="282">
        <f t="shared" si="66"/>
        <v>0</v>
      </c>
      <c r="L167" s="282">
        <f t="shared" si="66"/>
        <v>0</v>
      </c>
      <c r="M167" s="282">
        <f t="shared" si="66"/>
        <v>0</v>
      </c>
      <c r="N167" s="282">
        <f t="shared" si="66"/>
        <v>0</v>
      </c>
      <c r="O167" s="282">
        <f t="shared" si="66"/>
        <v>0</v>
      </c>
      <c r="P167" s="282">
        <f t="shared" si="66"/>
        <v>0</v>
      </c>
      <c r="Q167" s="282">
        <f t="shared" ref="Q167:S167" si="67">hundred * $H33 * Q58 / $H46 * Q84 / hours_in_year</f>
        <v>0</v>
      </c>
      <c r="R167" s="282">
        <f t="shared" si="67"/>
        <v>0</v>
      </c>
      <c r="S167" s="282">
        <f t="shared" si="67"/>
        <v>0</v>
      </c>
      <c r="T167" s="282">
        <f t="shared" si="66"/>
        <v>0</v>
      </c>
      <c r="U167" s="282">
        <f t="shared" si="66"/>
        <v>0</v>
      </c>
      <c r="V167" s="282">
        <f t="shared" si="66"/>
        <v>0</v>
      </c>
      <c r="W167" s="282">
        <f t="shared" si="66"/>
        <v>0</v>
      </c>
      <c r="X167" s="282">
        <f t="shared" si="66"/>
        <v>0</v>
      </c>
      <c r="Y167" s="282">
        <f t="shared" si="66"/>
        <v>0</v>
      </c>
      <c r="Z167" s="282">
        <f t="shared" si="66"/>
        <v>0</v>
      </c>
      <c r="AA167" s="282">
        <f t="shared" si="66"/>
        <v>0</v>
      </c>
      <c r="AB167" s="282">
        <f t="shared" si="66"/>
        <v>0</v>
      </c>
      <c r="AC167" s="271"/>
      <c r="AD167" s="271"/>
    </row>
    <row r="168" spans="3:30" x14ac:dyDescent="0.25">
      <c r="D168" s="32"/>
      <c r="E168" s="32"/>
      <c r="F168" s="191" t="s">
        <v>193</v>
      </c>
      <c r="G168" t="s">
        <v>268</v>
      </c>
      <c r="H168" s="271"/>
      <c r="I168" s="271"/>
      <c r="J168" s="282">
        <f t="shared" ref="J168:AB168" si="68">hundred * $H34 * J59 / $H47 * J85 / hours_in_year</f>
        <v>1.3271969512058077</v>
      </c>
      <c r="K168" s="282">
        <f t="shared" si="68"/>
        <v>1.3271969512058077</v>
      </c>
      <c r="L168" s="282">
        <f t="shared" si="68"/>
        <v>1.5415459758172922</v>
      </c>
      <c r="M168" s="282">
        <f t="shared" si="68"/>
        <v>1.5415459758172922</v>
      </c>
      <c r="N168" s="282">
        <f t="shared" si="68"/>
        <v>1.1916571261756816</v>
      </c>
      <c r="O168" s="282">
        <f t="shared" si="68"/>
        <v>0.96922053951623688</v>
      </c>
      <c r="P168" s="282">
        <f t="shared" si="68"/>
        <v>0.96680783961049732</v>
      </c>
      <c r="Q168" s="282">
        <f t="shared" ref="Q168:S168" si="69">hundred * $H34 * Q59 / $H47 * Q85 / hours_in_year</f>
        <v>1.1916571261756816</v>
      </c>
      <c r="R168" s="282">
        <f t="shared" si="69"/>
        <v>0.96922053951623688</v>
      </c>
      <c r="S168" s="282">
        <f t="shared" si="69"/>
        <v>0.96680783961049732</v>
      </c>
      <c r="T168" s="282">
        <f t="shared" si="68"/>
        <v>2.8809541906935197</v>
      </c>
      <c r="U168" s="282">
        <f t="shared" si="68"/>
        <v>-0.94908490312753313</v>
      </c>
      <c r="V168" s="282">
        <f t="shared" si="68"/>
        <v>-0.90240859641634319</v>
      </c>
      <c r="W168" s="282">
        <f t="shared" si="68"/>
        <v>-0.94908490312753313</v>
      </c>
      <c r="X168" s="282">
        <f t="shared" si="68"/>
        <v>-0.94908490312753313</v>
      </c>
      <c r="Y168" s="282">
        <f t="shared" si="68"/>
        <v>-0.90240859641634319</v>
      </c>
      <c r="Z168" s="282">
        <f t="shared" si="68"/>
        <v>-0.90240859641634319</v>
      </c>
      <c r="AA168" s="282">
        <f t="shared" si="68"/>
        <v>-0.88684982751261299</v>
      </c>
      <c r="AB168" s="282">
        <f t="shared" si="68"/>
        <v>-0.88684982751261299</v>
      </c>
      <c r="AC168" s="271"/>
      <c r="AD168" s="271"/>
    </row>
    <row r="169" spans="3:30" x14ac:dyDescent="0.25">
      <c r="D169" s="32"/>
      <c r="E169" s="32"/>
      <c r="F169" s="191" t="s">
        <v>194</v>
      </c>
      <c r="G169" t="s">
        <v>268</v>
      </c>
      <c r="H169" s="271"/>
      <c r="I169" s="271"/>
      <c r="J169" s="282">
        <f t="shared" ref="J169:AB169" si="70">hundred * $H35 * J60 / $H48 * J86 / hours_in_year</f>
        <v>0.29792241874154252</v>
      </c>
      <c r="K169" s="282">
        <f t="shared" si="70"/>
        <v>0.29792241874154252</v>
      </c>
      <c r="L169" s="282">
        <f t="shared" si="70"/>
        <v>0.34603839716443235</v>
      </c>
      <c r="M169" s="282">
        <f t="shared" si="70"/>
        <v>0.34603839716443235</v>
      </c>
      <c r="N169" s="282">
        <f t="shared" si="70"/>
        <v>0.26749712845429946</v>
      </c>
      <c r="O169" s="282">
        <f t="shared" si="70"/>
        <v>0.2175656952529296</v>
      </c>
      <c r="P169" s="282">
        <f t="shared" si="70"/>
        <v>0.21702410465406455</v>
      </c>
      <c r="Q169" s="282">
        <f t="shared" ref="Q169:S169" si="71">hundred * $H35 * Q60 / $H48 * Q86 / hours_in_year</f>
        <v>0.26749712845429946</v>
      </c>
      <c r="R169" s="282">
        <f t="shared" si="71"/>
        <v>0.2175656952529296</v>
      </c>
      <c r="S169" s="282">
        <f t="shared" si="71"/>
        <v>0.21702410465406455</v>
      </c>
      <c r="T169" s="282">
        <f t="shared" si="70"/>
        <v>0.666188688621981</v>
      </c>
      <c r="U169" s="282">
        <f t="shared" si="70"/>
        <v>-0.21304575004783205</v>
      </c>
      <c r="V169" s="282">
        <f t="shared" si="70"/>
        <v>-0.20256809020941408</v>
      </c>
      <c r="W169" s="282">
        <f t="shared" si="70"/>
        <v>-0.21304575004783205</v>
      </c>
      <c r="X169" s="282">
        <f t="shared" si="70"/>
        <v>-0.21304575004783205</v>
      </c>
      <c r="Y169" s="282">
        <f t="shared" si="70"/>
        <v>-0.20256809020941408</v>
      </c>
      <c r="Z169" s="282">
        <f t="shared" si="70"/>
        <v>-0.20256809020941408</v>
      </c>
      <c r="AA169" s="282">
        <f t="shared" si="70"/>
        <v>-0.19907553692994143</v>
      </c>
      <c r="AB169" s="282">
        <f t="shared" si="70"/>
        <v>-0.19907553692994143</v>
      </c>
      <c r="AC169" s="271"/>
      <c r="AD169" s="271"/>
    </row>
    <row r="170" spans="3:30" x14ac:dyDescent="0.25">
      <c r="D170" s="32"/>
      <c r="E170" s="32"/>
      <c r="F170" s="191" t="s">
        <v>195</v>
      </c>
      <c r="G170" t="s">
        <v>268</v>
      </c>
      <c r="H170" s="271"/>
      <c r="I170" s="271"/>
      <c r="J170" s="282">
        <f t="shared" ref="J170:AB170" si="72">hundred * $H36 * J61 / $H49 * J87 / hours_in_year</f>
        <v>0</v>
      </c>
      <c r="K170" s="282">
        <f t="shared" si="72"/>
        <v>0</v>
      </c>
      <c r="L170" s="282">
        <f t="shared" si="72"/>
        <v>0</v>
      </c>
      <c r="M170" s="282">
        <f t="shared" si="72"/>
        <v>0</v>
      </c>
      <c r="N170" s="282">
        <f t="shared" si="72"/>
        <v>0</v>
      </c>
      <c r="O170" s="282">
        <f t="shared" si="72"/>
        <v>0</v>
      </c>
      <c r="P170" s="282">
        <f t="shared" si="72"/>
        <v>0</v>
      </c>
      <c r="Q170" s="282">
        <f t="shared" ref="Q170:S170" si="73">hundred * $H36 * Q61 / $H49 * Q87 / hours_in_year</f>
        <v>0</v>
      </c>
      <c r="R170" s="282">
        <f t="shared" si="73"/>
        <v>0</v>
      </c>
      <c r="S170" s="282">
        <f t="shared" si="73"/>
        <v>0</v>
      </c>
      <c r="T170" s="282">
        <f t="shared" si="72"/>
        <v>0</v>
      </c>
      <c r="U170" s="282">
        <f t="shared" si="72"/>
        <v>0</v>
      </c>
      <c r="V170" s="282">
        <f t="shared" si="72"/>
        <v>0</v>
      </c>
      <c r="W170" s="282">
        <f t="shared" si="72"/>
        <v>0</v>
      </c>
      <c r="X170" s="282">
        <f t="shared" si="72"/>
        <v>0</v>
      </c>
      <c r="Y170" s="282">
        <f t="shared" si="72"/>
        <v>0</v>
      </c>
      <c r="Z170" s="282">
        <f t="shared" si="72"/>
        <v>0</v>
      </c>
      <c r="AA170" s="282">
        <f t="shared" si="72"/>
        <v>0</v>
      </c>
      <c r="AB170" s="282">
        <f t="shared" si="72"/>
        <v>0</v>
      </c>
      <c r="AC170" s="271"/>
      <c r="AD170" s="271"/>
    </row>
    <row r="171" spans="3:30" x14ac:dyDescent="0.25">
      <c r="D171" s="32"/>
      <c r="E171" s="32"/>
      <c r="F171" s="191" t="s">
        <v>196</v>
      </c>
      <c r="G171" t="s">
        <v>268</v>
      </c>
      <c r="H171" s="271"/>
      <c r="I171" s="271"/>
      <c r="J171" s="282">
        <f t="shared" ref="J171:AB171" si="74">hundred * $H37 * J62 / $H50 * J88 / hours_in_year</f>
        <v>1.2816705915961015</v>
      </c>
      <c r="K171" s="282">
        <f t="shared" si="74"/>
        <v>1.2816705915961015</v>
      </c>
      <c r="L171" s="282">
        <f t="shared" si="74"/>
        <v>1.4886668787200668</v>
      </c>
      <c r="M171" s="282">
        <f t="shared" si="74"/>
        <v>1.4886668787200668</v>
      </c>
      <c r="N171" s="282">
        <f t="shared" si="74"/>
        <v>1.1507801404288012</v>
      </c>
      <c r="O171" s="282">
        <f t="shared" si="74"/>
        <v>0.93597371598862078</v>
      </c>
      <c r="P171" s="282">
        <f t="shared" si="74"/>
        <v>0.93364377805987264</v>
      </c>
      <c r="Q171" s="282">
        <f t="shared" ref="Q171:S171" si="75">hundred * $H37 * Q62 / $H50 * Q88 / hours_in_year</f>
        <v>1.1507801404288012</v>
      </c>
      <c r="R171" s="282">
        <f t="shared" si="75"/>
        <v>0.93597371598862078</v>
      </c>
      <c r="S171" s="282">
        <f t="shared" si="75"/>
        <v>0.93364377805987264</v>
      </c>
      <c r="T171" s="282">
        <f t="shared" si="74"/>
        <v>2.865962401444837</v>
      </c>
      <c r="U171" s="282">
        <f t="shared" si="74"/>
        <v>-0.91652878509194657</v>
      </c>
      <c r="V171" s="282">
        <f t="shared" si="74"/>
        <v>-0.87145359893988361</v>
      </c>
      <c r="W171" s="282">
        <f t="shared" si="74"/>
        <v>-0.91652878509194657</v>
      </c>
      <c r="X171" s="282">
        <f t="shared" si="74"/>
        <v>-0.91652878509194657</v>
      </c>
      <c r="Y171" s="282">
        <f t="shared" si="74"/>
        <v>-0.87145359893988361</v>
      </c>
      <c r="Z171" s="282">
        <f t="shared" si="74"/>
        <v>-0.87145359893988361</v>
      </c>
      <c r="AA171" s="282">
        <f t="shared" si="74"/>
        <v>0</v>
      </c>
      <c r="AB171" s="282">
        <f t="shared" si="74"/>
        <v>0</v>
      </c>
      <c r="AC171" s="271"/>
      <c r="AD171" s="271"/>
    </row>
    <row r="172" spans="3:30" x14ac:dyDescent="0.25">
      <c r="D172" s="32"/>
      <c r="E172" s="32"/>
      <c r="F172" s="191" t="s">
        <v>197</v>
      </c>
      <c r="G172" t="s">
        <v>268</v>
      </c>
      <c r="H172" s="271"/>
      <c r="I172" s="271"/>
      <c r="J172" s="282">
        <f t="shared" ref="J172:AB172" si="76">hundred * $H38 * J63 / $H51 * J89 / hours_in_year</f>
        <v>0.3221201107161773</v>
      </c>
      <c r="K172" s="282">
        <f t="shared" si="76"/>
        <v>0.3221201107161773</v>
      </c>
      <c r="L172" s="282">
        <f t="shared" si="76"/>
        <v>0.37414413885836451</v>
      </c>
      <c r="M172" s="282">
        <f t="shared" si="76"/>
        <v>0.37414413885836451</v>
      </c>
      <c r="N172" s="282">
        <f t="shared" si="76"/>
        <v>0.28922363411902369</v>
      </c>
      <c r="O172" s="282">
        <f t="shared" si="76"/>
        <v>0.23523669732191077</v>
      </c>
      <c r="P172" s="282">
        <f t="shared" si="76"/>
        <v>0</v>
      </c>
      <c r="Q172" s="282">
        <f t="shared" ref="Q172:S172" si="77">hundred * $H38 * Q63 / $H51 * Q89 / hours_in_year</f>
        <v>0.28922363411902369</v>
      </c>
      <c r="R172" s="282">
        <f t="shared" si="77"/>
        <v>0.23523669732191077</v>
      </c>
      <c r="S172" s="282">
        <f t="shared" si="77"/>
        <v>0</v>
      </c>
      <c r="T172" s="282">
        <f t="shared" si="76"/>
        <v>0.72029750242778401</v>
      </c>
      <c r="U172" s="282">
        <f t="shared" si="76"/>
        <v>-0.23034963559608548</v>
      </c>
      <c r="V172" s="282">
        <f t="shared" si="76"/>
        <v>0</v>
      </c>
      <c r="W172" s="282">
        <f t="shared" si="76"/>
        <v>-0.23034963559608548</v>
      </c>
      <c r="X172" s="282">
        <f t="shared" si="76"/>
        <v>-0.23034963559608548</v>
      </c>
      <c r="Y172" s="282">
        <f t="shared" si="76"/>
        <v>0</v>
      </c>
      <c r="Z172" s="282">
        <f t="shared" si="76"/>
        <v>0</v>
      </c>
      <c r="AA172" s="282">
        <f t="shared" si="76"/>
        <v>0</v>
      </c>
      <c r="AB172" s="282">
        <f t="shared" si="76"/>
        <v>0</v>
      </c>
      <c r="AC172" s="271"/>
      <c r="AD172" s="271"/>
    </row>
    <row r="173" spans="3:30" x14ac:dyDescent="0.25">
      <c r="D173" s="32"/>
      <c r="E173" s="32"/>
      <c r="F173" s="192" t="s">
        <v>198</v>
      </c>
      <c r="G173" s="37" t="s">
        <v>268</v>
      </c>
      <c r="H173" s="275"/>
      <c r="I173" s="275"/>
      <c r="J173" s="283">
        <f t="shared" ref="J173:AB173" si="78">hundred * $H39 * J64 / $H52 * J90 / hours_in_year</f>
        <v>0.54181621035669014</v>
      </c>
      <c r="K173" s="283">
        <f t="shared" si="78"/>
        <v>0.54181621035669014</v>
      </c>
      <c r="L173" s="283">
        <f t="shared" si="78"/>
        <v>0.6293222704807222</v>
      </c>
      <c r="M173" s="283">
        <f t="shared" si="78"/>
        <v>0.6293222704807222</v>
      </c>
      <c r="N173" s="283">
        <f t="shared" si="78"/>
        <v>0.4864832966670446</v>
      </c>
      <c r="O173" s="283">
        <f t="shared" si="78"/>
        <v>0</v>
      </c>
      <c r="P173" s="283">
        <f t="shared" si="78"/>
        <v>0</v>
      </c>
      <c r="Q173" s="283">
        <f t="shared" ref="Q173:S173" si="79">hundred * $H39 * Q64 / $H52 * Q90 / hours_in_year</f>
        <v>0.4864832966670446</v>
      </c>
      <c r="R173" s="283">
        <f t="shared" si="79"/>
        <v>0</v>
      </c>
      <c r="S173" s="283">
        <f t="shared" si="79"/>
        <v>0</v>
      </c>
      <c r="T173" s="283">
        <f t="shared" si="78"/>
        <v>1.2115631719705942</v>
      </c>
      <c r="U173" s="283">
        <f t="shared" si="78"/>
        <v>0</v>
      </c>
      <c r="V173" s="283">
        <f t="shared" si="78"/>
        <v>0</v>
      </c>
      <c r="W173" s="283">
        <f t="shared" si="78"/>
        <v>0</v>
      </c>
      <c r="X173" s="283">
        <f t="shared" si="78"/>
        <v>0</v>
      </c>
      <c r="Y173" s="283">
        <f t="shared" si="78"/>
        <v>0</v>
      </c>
      <c r="Z173" s="283">
        <f t="shared" si="78"/>
        <v>0</v>
      </c>
      <c r="AA173" s="283">
        <f t="shared" si="78"/>
        <v>0</v>
      </c>
      <c r="AB173" s="283">
        <f t="shared" si="78"/>
        <v>0</v>
      </c>
      <c r="AC173" s="271"/>
      <c r="AD173" s="271"/>
    </row>
    <row r="174" spans="3:30" x14ac:dyDescent="0.25">
      <c r="C174" s="32"/>
      <c r="D174" s="32"/>
      <c r="E174" s="32"/>
      <c r="J174" s="163"/>
      <c r="K174" s="163"/>
      <c r="L174" s="163"/>
      <c r="M174" s="163"/>
      <c r="N174" s="163"/>
      <c r="O174" s="163"/>
      <c r="P174" s="163"/>
      <c r="Q174" s="163"/>
      <c r="R174" s="163"/>
      <c r="S174" s="163"/>
      <c r="T174" s="163"/>
      <c r="U174" s="163"/>
      <c r="V174" s="163"/>
      <c r="W174" s="163"/>
      <c r="X174" s="163"/>
      <c r="Y174" s="163"/>
      <c r="Z174" s="163"/>
      <c r="AA174" s="163"/>
      <c r="AB174" s="163"/>
    </row>
    <row r="175" spans="3:30" x14ac:dyDescent="0.25">
      <c r="C175" s="31" t="str">
        <f ca="1">INDEX('Version control'!$H$34:$H$57,MATCH($A$1,'Version control'!$F$34:$F$57,0),1)&amp;"-D: Unit rate 2"</f>
        <v>Section 109-D: Unit rate 2</v>
      </c>
      <c r="D175" s="31"/>
      <c r="E175" s="31"/>
      <c r="F175" s="31"/>
      <c r="G175" s="31"/>
      <c r="H175" s="31"/>
      <c r="I175" s="31"/>
      <c r="J175" s="198"/>
      <c r="K175" s="198"/>
      <c r="L175" s="198"/>
      <c r="M175" s="198"/>
      <c r="N175" s="198"/>
      <c r="O175" s="198"/>
      <c r="P175" s="198"/>
      <c r="Q175" s="198"/>
      <c r="R175" s="198"/>
      <c r="S175" s="198"/>
      <c r="T175" s="198"/>
      <c r="U175" s="198"/>
      <c r="V175" s="198"/>
      <c r="W175" s="198"/>
      <c r="X175" s="198"/>
      <c r="Y175" s="198"/>
      <c r="Z175" s="198"/>
      <c r="AA175" s="198"/>
      <c r="AB175" s="198"/>
      <c r="AC175" s="31"/>
      <c r="AD175" s="31"/>
    </row>
    <row r="176" spans="3:30" x14ac:dyDescent="0.25">
      <c r="C176" s="32"/>
      <c r="D176" s="32"/>
      <c r="E176" s="32"/>
      <c r="J176" s="163"/>
      <c r="K176" s="163"/>
      <c r="L176" s="163"/>
      <c r="M176" s="163"/>
      <c r="N176" s="163"/>
      <c r="O176" s="163"/>
      <c r="P176" s="163"/>
      <c r="Q176" s="163"/>
      <c r="R176" s="163"/>
      <c r="S176" s="163"/>
      <c r="T176" s="163"/>
      <c r="U176" s="163"/>
      <c r="V176" s="163"/>
      <c r="W176" s="163"/>
      <c r="X176" s="163"/>
      <c r="Y176" s="163"/>
      <c r="Z176" s="163"/>
      <c r="AA176" s="163"/>
      <c r="AB176" s="163"/>
    </row>
    <row r="177" spans="4:30" x14ac:dyDescent="0.25">
      <c r="D177" s="29" t="s">
        <v>625</v>
      </c>
      <c r="E177" s="32"/>
      <c r="F177" s="32"/>
      <c r="J177" s="163"/>
      <c r="K177" s="163"/>
      <c r="L177" s="163"/>
      <c r="M177" s="163"/>
      <c r="N177" s="163"/>
      <c r="O177" s="163"/>
      <c r="P177" s="163"/>
      <c r="Q177" s="163"/>
      <c r="R177" s="163"/>
      <c r="S177" s="163"/>
      <c r="T177" s="163"/>
      <c r="U177" s="163"/>
      <c r="V177" s="163"/>
      <c r="W177" s="163"/>
      <c r="X177" s="163"/>
      <c r="Y177" s="163"/>
      <c r="Z177" s="163"/>
      <c r="AA177" s="163"/>
      <c r="AB177" s="163"/>
    </row>
    <row r="178" spans="4:30" x14ac:dyDescent="0.25">
      <c r="D178" s="29" t="s">
        <v>623</v>
      </c>
      <c r="E178" s="32"/>
      <c r="F178" s="32"/>
      <c r="J178" s="163"/>
      <c r="K178" s="163"/>
      <c r="L178" s="163"/>
      <c r="M178" s="163"/>
      <c r="N178" s="163"/>
      <c r="O178" s="163"/>
      <c r="P178" s="163"/>
      <c r="Q178" s="163"/>
      <c r="R178" s="163"/>
      <c r="S178" s="163"/>
      <c r="T178" s="163"/>
      <c r="U178" s="163"/>
      <c r="V178" s="163"/>
      <c r="W178" s="163"/>
      <c r="X178" s="163"/>
      <c r="Y178" s="163"/>
      <c r="Z178" s="163"/>
      <c r="AA178" s="163"/>
      <c r="AB178" s="163"/>
    </row>
    <row r="179" spans="4:30" x14ac:dyDescent="0.25">
      <c r="D179" s="32"/>
      <c r="E179" s="32"/>
      <c r="F179" s="32"/>
      <c r="I179" s="3" t="s">
        <v>153</v>
      </c>
      <c r="J179" s="163"/>
      <c r="K179" s="163"/>
      <c r="L179" s="163"/>
      <c r="M179" s="163"/>
      <c r="N179" s="163"/>
      <c r="O179" s="163"/>
      <c r="P179" s="163"/>
      <c r="Q179" s="163"/>
      <c r="R179" s="163"/>
      <c r="S179" s="163"/>
      <c r="T179" s="163"/>
      <c r="U179" s="163"/>
      <c r="V179" s="163"/>
      <c r="W179" s="163"/>
      <c r="X179" s="163"/>
      <c r="Y179" s="163"/>
      <c r="Z179" s="163"/>
      <c r="AA179" s="163"/>
      <c r="AB179" s="163"/>
      <c r="AD179" t="s">
        <v>624</v>
      </c>
    </row>
    <row r="180" spans="4:30" x14ac:dyDescent="0.25">
      <c r="E180" s="32" t="s">
        <v>620</v>
      </c>
      <c r="J180" s="163"/>
      <c r="K180" s="163"/>
      <c r="L180" s="163"/>
      <c r="M180" s="163"/>
      <c r="N180" s="163"/>
      <c r="O180" s="163"/>
      <c r="P180" s="163"/>
      <c r="Q180" s="163"/>
      <c r="R180" s="163"/>
      <c r="S180" s="163"/>
      <c r="T180" s="163"/>
      <c r="U180" s="163"/>
      <c r="V180" s="163"/>
      <c r="W180" s="163"/>
      <c r="X180" s="163"/>
      <c r="Y180" s="163"/>
      <c r="Z180" s="163"/>
      <c r="AA180" s="163"/>
      <c r="AB180" s="163"/>
    </row>
    <row r="181" spans="4:30" x14ac:dyDescent="0.25">
      <c r="E181" s="32"/>
      <c r="F181" s="190" t="s">
        <v>188</v>
      </c>
      <c r="G181" s="23" t="s">
        <v>268</v>
      </c>
      <c r="H181" s="269"/>
      <c r="I181" s="269"/>
      <c r="J181" s="281">
        <f t="shared" ref="J181:AB181" si="80">hundred * $H18 * J55 / $H43 * J93 * (1 - J67) / hours_in_year</f>
        <v>0</v>
      </c>
      <c r="K181" s="281">
        <f t="shared" si="80"/>
        <v>0</v>
      </c>
      <c r="L181" s="281">
        <f t="shared" si="80"/>
        <v>0</v>
      </c>
      <c r="M181" s="281">
        <f t="shared" si="80"/>
        <v>0</v>
      </c>
      <c r="N181" s="281">
        <f t="shared" si="80"/>
        <v>0</v>
      </c>
      <c r="O181" s="281">
        <f t="shared" si="80"/>
        <v>0</v>
      </c>
      <c r="P181" s="281">
        <f t="shared" si="80"/>
        <v>0</v>
      </c>
      <c r="Q181" s="281">
        <f t="shared" ref="Q181:S181" si="81">hundred * $H18 * Q55 / $H43 * Q93 * (1 - Q67) / hours_in_year</f>
        <v>0</v>
      </c>
      <c r="R181" s="281">
        <f t="shared" si="81"/>
        <v>0</v>
      </c>
      <c r="S181" s="281">
        <f t="shared" si="81"/>
        <v>0</v>
      </c>
      <c r="T181" s="281">
        <f t="shared" si="80"/>
        <v>0</v>
      </c>
      <c r="U181" s="281">
        <f t="shared" si="80"/>
        <v>0</v>
      </c>
      <c r="V181" s="281">
        <f t="shared" si="80"/>
        <v>0</v>
      </c>
      <c r="W181" s="281">
        <f t="shared" si="80"/>
        <v>0</v>
      </c>
      <c r="X181" s="281">
        <f t="shared" si="80"/>
        <v>0</v>
      </c>
      <c r="Y181" s="281">
        <f t="shared" si="80"/>
        <v>0</v>
      </c>
      <c r="Z181" s="281">
        <f t="shared" si="80"/>
        <v>0</v>
      </c>
      <c r="AA181" s="281">
        <f t="shared" si="80"/>
        <v>0</v>
      </c>
      <c r="AB181" s="281">
        <f t="shared" si="80"/>
        <v>0</v>
      </c>
      <c r="AC181" s="271"/>
      <c r="AD181" s="271"/>
    </row>
    <row r="182" spans="4:30" x14ac:dyDescent="0.25">
      <c r="E182" s="32"/>
      <c r="F182" s="191" t="s">
        <v>190</v>
      </c>
      <c r="G182" t="s">
        <v>268</v>
      </c>
      <c r="H182" s="271"/>
      <c r="I182" s="271"/>
      <c r="J182" s="282">
        <f t="shared" ref="J182:AB182" si="82">hundred * $H19 * J56 / $H44 * J94 * (1 - J68) / hours_in_year</f>
        <v>0</v>
      </c>
      <c r="K182" s="282">
        <f t="shared" si="82"/>
        <v>0</v>
      </c>
      <c r="L182" s="282">
        <f t="shared" si="82"/>
        <v>0</v>
      </c>
      <c r="M182" s="282">
        <f t="shared" si="82"/>
        <v>0</v>
      </c>
      <c r="N182" s="282">
        <f t="shared" si="82"/>
        <v>0</v>
      </c>
      <c r="O182" s="282">
        <f t="shared" si="82"/>
        <v>0</v>
      </c>
      <c r="P182" s="282">
        <f t="shared" si="82"/>
        <v>0</v>
      </c>
      <c r="Q182" s="282">
        <f t="shared" ref="Q182:S182" si="83">hundred * $H19 * Q56 / $H44 * Q94 * (1 - Q68) / hours_in_year</f>
        <v>0</v>
      </c>
      <c r="R182" s="282">
        <f t="shared" si="83"/>
        <v>0</v>
      </c>
      <c r="S182" s="282">
        <f t="shared" si="83"/>
        <v>0</v>
      </c>
      <c r="T182" s="282">
        <f t="shared" si="82"/>
        <v>0</v>
      </c>
      <c r="U182" s="282">
        <f t="shared" si="82"/>
        <v>0</v>
      </c>
      <c r="V182" s="282">
        <f t="shared" si="82"/>
        <v>0</v>
      </c>
      <c r="W182" s="282">
        <f t="shared" si="82"/>
        <v>0</v>
      </c>
      <c r="X182" s="282">
        <f t="shared" si="82"/>
        <v>0</v>
      </c>
      <c r="Y182" s="282">
        <f t="shared" si="82"/>
        <v>0</v>
      </c>
      <c r="Z182" s="282">
        <f t="shared" si="82"/>
        <v>0</v>
      </c>
      <c r="AA182" s="282">
        <f t="shared" si="82"/>
        <v>0</v>
      </c>
      <c r="AB182" s="282">
        <f t="shared" si="82"/>
        <v>0</v>
      </c>
      <c r="AC182" s="271"/>
      <c r="AD182" s="271"/>
    </row>
    <row r="183" spans="4:30" x14ac:dyDescent="0.25">
      <c r="E183" s="32"/>
      <c r="F183" s="191" t="s">
        <v>191</v>
      </c>
      <c r="G183" t="s">
        <v>268</v>
      </c>
      <c r="H183" s="271"/>
      <c r="I183" s="271"/>
      <c r="J183" s="282">
        <f t="shared" ref="J183:AB183" si="84">hundred * $H20 * J57 / $H45 * J95 * (1 - J69) / hours_in_year</f>
        <v>0</v>
      </c>
      <c r="K183" s="282">
        <f t="shared" si="84"/>
        <v>0</v>
      </c>
      <c r="L183" s="282">
        <f t="shared" si="84"/>
        <v>0</v>
      </c>
      <c r="M183" s="282">
        <f t="shared" si="84"/>
        <v>0</v>
      </c>
      <c r="N183" s="282">
        <f t="shared" si="84"/>
        <v>0</v>
      </c>
      <c r="O183" s="282">
        <f t="shared" si="84"/>
        <v>0</v>
      </c>
      <c r="P183" s="282">
        <f t="shared" si="84"/>
        <v>0</v>
      </c>
      <c r="Q183" s="282">
        <f t="shared" ref="Q183:S183" si="85">hundred * $H20 * Q57 / $H45 * Q95 * (1 - Q69) / hours_in_year</f>
        <v>0</v>
      </c>
      <c r="R183" s="282">
        <f t="shared" si="85"/>
        <v>0</v>
      </c>
      <c r="S183" s="282">
        <f t="shared" si="85"/>
        <v>0</v>
      </c>
      <c r="T183" s="282">
        <f t="shared" si="84"/>
        <v>0</v>
      </c>
      <c r="U183" s="282">
        <f t="shared" si="84"/>
        <v>0</v>
      </c>
      <c r="V183" s="282">
        <f t="shared" si="84"/>
        <v>0</v>
      </c>
      <c r="W183" s="282">
        <f t="shared" si="84"/>
        <v>0</v>
      </c>
      <c r="X183" s="282">
        <f t="shared" si="84"/>
        <v>0</v>
      </c>
      <c r="Y183" s="282">
        <f t="shared" si="84"/>
        <v>0</v>
      </c>
      <c r="Z183" s="282">
        <f t="shared" si="84"/>
        <v>0</v>
      </c>
      <c r="AA183" s="282">
        <f t="shared" si="84"/>
        <v>0</v>
      </c>
      <c r="AB183" s="282">
        <f t="shared" si="84"/>
        <v>0</v>
      </c>
      <c r="AC183" s="271"/>
      <c r="AD183" s="271"/>
    </row>
    <row r="184" spans="4:30" x14ac:dyDescent="0.25">
      <c r="E184" s="32"/>
      <c r="F184" s="191" t="s">
        <v>192</v>
      </c>
      <c r="G184" t="s">
        <v>268</v>
      </c>
      <c r="H184" s="271"/>
      <c r="I184" s="271"/>
      <c r="J184" s="282">
        <f t="shared" ref="J184:AB184" si="86">hundred * $H21 * J58 / $H46 * J96 * (1 - J70) / hours_in_year</f>
        <v>0</v>
      </c>
      <c r="K184" s="282">
        <f t="shared" si="86"/>
        <v>0</v>
      </c>
      <c r="L184" s="282">
        <f t="shared" si="86"/>
        <v>0</v>
      </c>
      <c r="M184" s="282">
        <f t="shared" si="86"/>
        <v>0</v>
      </c>
      <c r="N184" s="282">
        <f t="shared" si="86"/>
        <v>0</v>
      </c>
      <c r="O184" s="282">
        <f t="shared" si="86"/>
        <v>0</v>
      </c>
      <c r="P184" s="282">
        <f t="shared" si="86"/>
        <v>0</v>
      </c>
      <c r="Q184" s="282">
        <f t="shared" ref="Q184:S184" si="87">hundred * $H21 * Q58 / $H46 * Q96 * (1 - Q70) / hours_in_year</f>
        <v>0</v>
      </c>
      <c r="R184" s="282">
        <f t="shared" si="87"/>
        <v>0</v>
      </c>
      <c r="S184" s="282">
        <f t="shared" si="87"/>
        <v>0</v>
      </c>
      <c r="T184" s="282">
        <f t="shared" si="86"/>
        <v>0</v>
      </c>
      <c r="U184" s="282">
        <f t="shared" si="86"/>
        <v>0</v>
      </c>
      <c r="V184" s="282">
        <f t="shared" si="86"/>
        <v>0</v>
      </c>
      <c r="W184" s="282">
        <f t="shared" si="86"/>
        <v>0</v>
      </c>
      <c r="X184" s="282">
        <f t="shared" si="86"/>
        <v>0</v>
      </c>
      <c r="Y184" s="282">
        <f t="shared" si="86"/>
        <v>0</v>
      </c>
      <c r="Z184" s="282">
        <f t="shared" si="86"/>
        <v>0</v>
      </c>
      <c r="AA184" s="282">
        <f t="shared" si="86"/>
        <v>0</v>
      </c>
      <c r="AB184" s="282">
        <f t="shared" si="86"/>
        <v>0</v>
      </c>
      <c r="AC184" s="271"/>
      <c r="AD184" s="271"/>
    </row>
    <row r="185" spans="4:30" x14ac:dyDescent="0.25">
      <c r="E185" s="32"/>
      <c r="F185" s="191" t="s">
        <v>193</v>
      </c>
      <c r="G185" t="s">
        <v>268</v>
      </c>
      <c r="H185" s="271"/>
      <c r="I185" s="271"/>
      <c r="J185" s="282">
        <f t="shared" ref="J185:AB185" si="88">hundred * $H22 * J59 / $H47 * J97 * (1 - J71) / hours_in_year</f>
        <v>0.1438617225082271</v>
      </c>
      <c r="K185" s="282">
        <f t="shared" si="88"/>
        <v>0.1438617225082271</v>
      </c>
      <c r="L185" s="282">
        <f t="shared" si="88"/>
        <v>0.16709611878268379</v>
      </c>
      <c r="M185" s="282">
        <f t="shared" si="88"/>
        <v>0.16709611878268379</v>
      </c>
      <c r="N185" s="282">
        <f t="shared" si="88"/>
        <v>0.12916986183179766</v>
      </c>
      <c r="O185" s="282">
        <f t="shared" si="88"/>
        <v>0.10505881299567355</v>
      </c>
      <c r="P185" s="282">
        <f t="shared" si="88"/>
        <v>0.1015380422101458</v>
      </c>
      <c r="Q185" s="282">
        <f t="shared" ref="Q185:S185" si="89">hundred * $H22 * Q59 / $H47 * Q97 * (1 - Q71) / hours_in_year</f>
        <v>0.12916986183179766</v>
      </c>
      <c r="R185" s="282">
        <f t="shared" si="89"/>
        <v>0.10505881299567355</v>
      </c>
      <c r="S185" s="282">
        <f t="shared" si="89"/>
        <v>0.1015380422101458</v>
      </c>
      <c r="T185" s="282">
        <f t="shared" si="88"/>
        <v>0.12323803469373426</v>
      </c>
      <c r="U185" s="282">
        <f t="shared" si="88"/>
        <v>-0.10287620751873476</v>
      </c>
      <c r="V185" s="282">
        <f t="shared" si="88"/>
        <v>-9.7816721903059289E-2</v>
      </c>
      <c r="W185" s="282">
        <f t="shared" si="88"/>
        <v>-0.10287620751873476</v>
      </c>
      <c r="X185" s="282">
        <f t="shared" si="88"/>
        <v>-0.10287620751873476</v>
      </c>
      <c r="Y185" s="282">
        <f t="shared" si="88"/>
        <v>-9.7816721903059289E-2</v>
      </c>
      <c r="Z185" s="282">
        <f t="shared" si="88"/>
        <v>-9.7816721903059289E-2</v>
      </c>
      <c r="AA185" s="282">
        <f t="shared" si="88"/>
        <v>-9.3140530652207704E-2</v>
      </c>
      <c r="AB185" s="282">
        <f t="shared" si="88"/>
        <v>-9.3140530652207704E-2</v>
      </c>
      <c r="AC185" s="271"/>
      <c r="AD185" s="271"/>
    </row>
    <row r="186" spans="4:30" x14ac:dyDescent="0.25">
      <c r="E186" s="32"/>
      <c r="F186" s="191" t="s">
        <v>194</v>
      </c>
      <c r="G186" t="s">
        <v>268</v>
      </c>
      <c r="H186" s="271"/>
      <c r="I186" s="271"/>
      <c r="J186" s="282">
        <f t="shared" ref="J186:AB186" si="90">hundred * $H23 * J60 / $H48 * J98 * (1 - J72) / hours_in_year</f>
        <v>4.8523421577766256E-2</v>
      </c>
      <c r="K186" s="282">
        <f t="shared" si="90"/>
        <v>4.8523421577766256E-2</v>
      </c>
      <c r="L186" s="282">
        <f t="shared" si="90"/>
        <v>5.6360199741366176E-2</v>
      </c>
      <c r="M186" s="282">
        <f t="shared" si="90"/>
        <v>5.6360199741366176E-2</v>
      </c>
      <c r="N186" s="282">
        <f t="shared" si="90"/>
        <v>4.356797313091882E-2</v>
      </c>
      <c r="O186" s="282">
        <f t="shared" si="90"/>
        <v>3.5435506989409539E-2</v>
      </c>
      <c r="P186" s="282">
        <f t="shared" si="90"/>
        <v>3.0323647194290419E-2</v>
      </c>
      <c r="Q186" s="282">
        <f t="shared" ref="Q186:S186" si="91">hundred * $H23 * Q60 / $H48 * Q98 * (1 - Q72) / hours_in_year</f>
        <v>4.356797313091882E-2</v>
      </c>
      <c r="R186" s="282">
        <f t="shared" si="91"/>
        <v>3.5435506989409539E-2</v>
      </c>
      <c r="S186" s="282">
        <f t="shared" si="91"/>
        <v>3.0323647194290419E-2</v>
      </c>
      <c r="T186" s="282">
        <f t="shared" si="90"/>
        <v>3.699604555862028E-2</v>
      </c>
      <c r="U186" s="282">
        <f t="shared" si="90"/>
        <v>-3.4699331418528372E-2</v>
      </c>
      <c r="V186" s="282">
        <f t="shared" si="90"/>
        <v>-3.2992806922535173E-2</v>
      </c>
      <c r="W186" s="282">
        <f t="shared" si="90"/>
        <v>-3.4699331418528372E-2</v>
      </c>
      <c r="X186" s="282">
        <f t="shared" si="90"/>
        <v>-3.4699331418528372E-2</v>
      </c>
      <c r="Y186" s="282">
        <f t="shared" si="90"/>
        <v>-3.2992806922535173E-2</v>
      </c>
      <c r="Z186" s="282">
        <f t="shared" si="90"/>
        <v>-3.2992806922535173E-2</v>
      </c>
      <c r="AA186" s="282">
        <f t="shared" si="90"/>
        <v>-2.7815787359196549E-2</v>
      </c>
      <c r="AB186" s="282">
        <f t="shared" si="90"/>
        <v>-2.7815787359196549E-2</v>
      </c>
      <c r="AC186" s="271"/>
      <c r="AD186" s="271"/>
    </row>
    <row r="187" spans="4:30" x14ac:dyDescent="0.25">
      <c r="E187" s="32"/>
      <c r="F187" s="191" t="s">
        <v>195</v>
      </c>
      <c r="G187" t="s">
        <v>268</v>
      </c>
      <c r="H187" s="271"/>
      <c r="I187" s="271"/>
      <c r="J187" s="282">
        <f t="shared" ref="J187:AB187" si="92">hundred * $H24 * J61 / $H49 * J99 * (1 - J73) / hours_in_year</f>
        <v>0</v>
      </c>
      <c r="K187" s="282">
        <f t="shared" si="92"/>
        <v>0</v>
      </c>
      <c r="L187" s="282">
        <f t="shared" si="92"/>
        <v>0</v>
      </c>
      <c r="M187" s="282">
        <f t="shared" si="92"/>
        <v>0</v>
      </c>
      <c r="N187" s="282">
        <f t="shared" si="92"/>
        <v>0</v>
      </c>
      <c r="O187" s="282">
        <f t="shared" si="92"/>
        <v>0</v>
      </c>
      <c r="P187" s="282">
        <f t="shared" si="92"/>
        <v>0</v>
      </c>
      <c r="Q187" s="282">
        <f t="shared" ref="Q187:S187" si="93">hundred * $H24 * Q61 / $H49 * Q99 * (1 - Q73) / hours_in_year</f>
        <v>0</v>
      </c>
      <c r="R187" s="282">
        <f t="shared" si="93"/>
        <v>0</v>
      </c>
      <c r="S187" s="282">
        <f t="shared" si="93"/>
        <v>0</v>
      </c>
      <c r="T187" s="282">
        <f t="shared" si="92"/>
        <v>0</v>
      </c>
      <c r="U187" s="282">
        <f t="shared" si="92"/>
        <v>0</v>
      </c>
      <c r="V187" s="282">
        <f t="shared" si="92"/>
        <v>0</v>
      </c>
      <c r="W187" s="282">
        <f t="shared" si="92"/>
        <v>0</v>
      </c>
      <c r="X187" s="282">
        <f t="shared" si="92"/>
        <v>0</v>
      </c>
      <c r="Y187" s="282">
        <f t="shared" si="92"/>
        <v>0</v>
      </c>
      <c r="Z187" s="282">
        <f t="shared" si="92"/>
        <v>0</v>
      </c>
      <c r="AA187" s="282">
        <f t="shared" si="92"/>
        <v>0</v>
      </c>
      <c r="AB187" s="282">
        <f t="shared" si="92"/>
        <v>0</v>
      </c>
      <c r="AC187" s="271"/>
      <c r="AD187" s="271"/>
    </row>
    <row r="188" spans="4:30" x14ac:dyDescent="0.25">
      <c r="E188" s="32"/>
      <c r="F188" s="191" t="s">
        <v>196</v>
      </c>
      <c r="G188" t="s">
        <v>268</v>
      </c>
      <c r="H188" s="271"/>
      <c r="I188" s="271"/>
      <c r="J188" s="282">
        <f t="shared" ref="J188:AB188" si="94">hundred * $H25 * J62 / $H50 * J100 * (1 - J74) / hours_in_year</f>
        <v>0.16686319527226703</v>
      </c>
      <c r="K188" s="282">
        <f t="shared" si="94"/>
        <v>0.16686319527226703</v>
      </c>
      <c r="L188" s="282">
        <f t="shared" si="94"/>
        <v>0.19381244580940135</v>
      </c>
      <c r="M188" s="282">
        <f t="shared" si="94"/>
        <v>0.19381244580940135</v>
      </c>
      <c r="N188" s="282">
        <f t="shared" si="94"/>
        <v>0.14982231202534368</v>
      </c>
      <c r="O188" s="282">
        <f t="shared" si="94"/>
        <v>0.12185624447091643</v>
      </c>
      <c r="P188" s="282">
        <f t="shared" si="94"/>
        <v>8.341271124519431E-2</v>
      </c>
      <c r="Q188" s="282">
        <f t="shared" ref="Q188:S188" si="95">hundred * $H25 * Q62 / $H50 * Q100 * (1 - Q74) / hours_in_year</f>
        <v>0.14982231202534368</v>
      </c>
      <c r="R188" s="282">
        <f t="shared" si="95"/>
        <v>0.12185624447091643</v>
      </c>
      <c r="S188" s="282">
        <f t="shared" si="95"/>
        <v>8.341271124519431E-2</v>
      </c>
      <c r="T188" s="282">
        <f t="shared" si="94"/>
        <v>0.12722265194048846</v>
      </c>
      <c r="U188" s="282">
        <f t="shared" si="94"/>
        <v>-0.11932467097415166</v>
      </c>
      <c r="V188" s="282">
        <f t="shared" si="94"/>
        <v>-0.11345624453279995</v>
      </c>
      <c r="W188" s="282">
        <f t="shared" si="94"/>
        <v>-0.11932467097415166</v>
      </c>
      <c r="X188" s="282">
        <f t="shared" si="94"/>
        <v>-0.11932467097415166</v>
      </c>
      <c r="Y188" s="282">
        <f t="shared" si="94"/>
        <v>-0.11345624453279995</v>
      </c>
      <c r="Z188" s="282">
        <f t="shared" si="94"/>
        <v>-0.11345624453279995</v>
      </c>
      <c r="AA188" s="282">
        <f t="shared" si="94"/>
        <v>0</v>
      </c>
      <c r="AB188" s="282">
        <f t="shared" si="94"/>
        <v>0</v>
      </c>
      <c r="AC188" s="271"/>
      <c r="AD188" s="271"/>
    </row>
    <row r="189" spans="4:30" x14ac:dyDescent="0.25">
      <c r="E189" s="32"/>
      <c r="F189" s="191" t="s">
        <v>197</v>
      </c>
      <c r="G189" t="s">
        <v>268</v>
      </c>
      <c r="H189" s="271"/>
      <c r="I189" s="271"/>
      <c r="J189" s="282">
        <f t="shared" ref="J189:AB189" si="96">hundred * $H26 * J63 / $H51 * J101 * (1 - J75) / hours_in_year</f>
        <v>3.8315656300647608E-2</v>
      </c>
      <c r="K189" s="282">
        <f t="shared" si="96"/>
        <v>3.8315656300647608E-2</v>
      </c>
      <c r="L189" s="282">
        <f t="shared" si="96"/>
        <v>4.4503828710123795E-2</v>
      </c>
      <c r="M189" s="282">
        <f t="shared" si="96"/>
        <v>4.4503828710123795E-2</v>
      </c>
      <c r="N189" s="282">
        <f t="shared" si="96"/>
        <v>3.4402674624351627E-2</v>
      </c>
      <c r="O189" s="282">
        <f t="shared" si="96"/>
        <v>2.7981017465337491E-2</v>
      </c>
      <c r="P189" s="282">
        <f t="shared" si="96"/>
        <v>0</v>
      </c>
      <c r="Q189" s="282">
        <f t="shared" ref="Q189:S189" si="97">hundred * $H26 * Q63 / $H51 * Q101 * (1 - Q75) / hours_in_year</f>
        <v>3.4402674624351627E-2</v>
      </c>
      <c r="R189" s="282">
        <f t="shared" si="97"/>
        <v>2.7981017465337491E-2</v>
      </c>
      <c r="S189" s="282">
        <f t="shared" si="97"/>
        <v>0</v>
      </c>
      <c r="T189" s="282">
        <f t="shared" si="96"/>
        <v>2.9213268974352696E-2</v>
      </c>
      <c r="U189" s="282">
        <f t="shared" si="96"/>
        <v>-2.7399709527157375E-2</v>
      </c>
      <c r="V189" s="282">
        <f t="shared" si="96"/>
        <v>0</v>
      </c>
      <c r="W189" s="282">
        <f t="shared" si="96"/>
        <v>-2.7399709527157375E-2</v>
      </c>
      <c r="X189" s="282">
        <f t="shared" si="96"/>
        <v>-2.7399709527157375E-2</v>
      </c>
      <c r="Y189" s="282">
        <f t="shared" si="96"/>
        <v>0</v>
      </c>
      <c r="Z189" s="282">
        <f t="shared" si="96"/>
        <v>0</v>
      </c>
      <c r="AA189" s="282">
        <f t="shared" si="96"/>
        <v>0</v>
      </c>
      <c r="AB189" s="282">
        <f t="shared" si="96"/>
        <v>0</v>
      </c>
      <c r="AC189" s="271"/>
      <c r="AD189" s="271"/>
    </row>
    <row r="190" spans="4:30" x14ac:dyDescent="0.25">
      <c r="E190" s="32"/>
      <c r="F190" s="192" t="s">
        <v>198</v>
      </c>
      <c r="G190" s="37" t="s">
        <v>268</v>
      </c>
      <c r="H190" s="275"/>
      <c r="I190" s="275"/>
      <c r="J190" s="283">
        <f t="shared" ref="J190:AB190" si="98">hundred * $H27 * J64 / $H52 * J102 * (1 - J76) / hours_in_year</f>
        <v>6.7316849374737739E-3</v>
      </c>
      <c r="K190" s="283">
        <f t="shared" si="98"/>
        <v>6.7316849374737739E-3</v>
      </c>
      <c r="L190" s="283">
        <f t="shared" si="98"/>
        <v>7.8188861241765984E-3</v>
      </c>
      <c r="M190" s="283">
        <f t="shared" si="98"/>
        <v>7.8188861241765984E-3</v>
      </c>
      <c r="N190" s="283">
        <f t="shared" si="98"/>
        <v>6.0442124430906538E-3</v>
      </c>
      <c r="O190" s="283">
        <f t="shared" si="98"/>
        <v>0</v>
      </c>
      <c r="P190" s="283">
        <f t="shared" si="98"/>
        <v>0</v>
      </c>
      <c r="Q190" s="283">
        <f t="shared" ref="Q190:S190" si="99">hundred * $H27 * Q64 / $H52 * Q102 * (1 - Q76) / hours_in_year</f>
        <v>6.0442124430906538E-3</v>
      </c>
      <c r="R190" s="283">
        <f t="shared" si="99"/>
        <v>0</v>
      </c>
      <c r="S190" s="283">
        <f t="shared" si="99"/>
        <v>0</v>
      </c>
      <c r="T190" s="283">
        <f t="shared" si="98"/>
        <v>5.1324847781792039E-3</v>
      </c>
      <c r="U190" s="283">
        <f t="shared" si="98"/>
        <v>0</v>
      </c>
      <c r="V190" s="283">
        <f t="shared" si="98"/>
        <v>0</v>
      </c>
      <c r="W190" s="283">
        <f t="shared" si="98"/>
        <v>0</v>
      </c>
      <c r="X190" s="283">
        <f t="shared" si="98"/>
        <v>0</v>
      </c>
      <c r="Y190" s="283">
        <f t="shared" si="98"/>
        <v>0</v>
      </c>
      <c r="Z190" s="283">
        <f t="shared" si="98"/>
        <v>0</v>
      </c>
      <c r="AA190" s="283">
        <f t="shared" si="98"/>
        <v>0</v>
      </c>
      <c r="AB190" s="283">
        <f t="shared" si="98"/>
        <v>0</v>
      </c>
      <c r="AC190" s="271"/>
      <c r="AD190" s="271"/>
    </row>
    <row r="191" spans="4:30" x14ac:dyDescent="0.25">
      <c r="E191" s="32"/>
      <c r="F191" s="191"/>
      <c r="J191" s="163"/>
      <c r="K191" s="163"/>
      <c r="L191" s="163"/>
      <c r="M191" s="163"/>
      <c r="N191" s="163"/>
      <c r="O191" s="163"/>
      <c r="P191" s="163"/>
      <c r="Q191" s="163"/>
      <c r="R191" s="163"/>
      <c r="S191" s="163"/>
      <c r="T191" s="163"/>
      <c r="U191" s="163"/>
      <c r="V191" s="163"/>
      <c r="W191" s="163"/>
      <c r="X191" s="163"/>
      <c r="Y191" s="163"/>
      <c r="Z191" s="163"/>
      <c r="AA191" s="163"/>
      <c r="AB191" s="163"/>
    </row>
    <row r="192" spans="4:30" x14ac:dyDescent="0.25">
      <c r="E192" s="32" t="s">
        <v>621</v>
      </c>
      <c r="J192" s="163"/>
      <c r="K192" s="163"/>
      <c r="L192" s="163"/>
      <c r="M192" s="163"/>
      <c r="N192" s="163"/>
      <c r="O192" s="163"/>
      <c r="P192" s="163"/>
      <c r="Q192" s="163"/>
      <c r="R192" s="163"/>
      <c r="S192" s="163"/>
      <c r="T192" s="163"/>
      <c r="U192" s="163"/>
      <c r="V192" s="163"/>
      <c r="W192" s="163"/>
      <c r="X192" s="163"/>
      <c r="Y192" s="163"/>
      <c r="Z192" s="163"/>
      <c r="AA192" s="163"/>
      <c r="AB192" s="163"/>
    </row>
    <row r="193" spans="3:30" x14ac:dyDescent="0.25">
      <c r="D193" s="32"/>
      <c r="E193" s="32"/>
      <c r="F193" s="190" t="s">
        <v>188</v>
      </c>
      <c r="G193" s="23" t="s">
        <v>268</v>
      </c>
      <c r="H193" s="269"/>
      <c r="I193" s="269"/>
      <c r="J193" s="281">
        <f t="shared" ref="J193:AB193" si="100">hundred * $H30 * J55 / $H43 * J93 / hours_in_year</f>
        <v>0.15021599433191743</v>
      </c>
      <c r="K193" s="281">
        <f t="shared" si="100"/>
        <v>0.15021599433191743</v>
      </c>
      <c r="L193" s="281">
        <f t="shared" si="100"/>
        <v>0.17447663766509949</v>
      </c>
      <c r="M193" s="281">
        <f t="shared" si="100"/>
        <v>0.17447663766509949</v>
      </c>
      <c r="N193" s="281">
        <f t="shared" si="100"/>
        <v>0.13487520442882392</v>
      </c>
      <c r="O193" s="281">
        <f t="shared" si="100"/>
        <v>0.10969918740249729</v>
      </c>
      <c r="P193" s="281">
        <f t="shared" si="100"/>
        <v>0.10942611104029204</v>
      </c>
      <c r="Q193" s="281">
        <f t="shared" ref="Q193:S193" si="101">hundred * $H30 * Q55 / $H43 * Q93 / hours_in_year</f>
        <v>0.13487520442882392</v>
      </c>
      <c r="R193" s="281">
        <f t="shared" si="101"/>
        <v>0.10969918740249729</v>
      </c>
      <c r="S193" s="281">
        <f t="shared" si="101"/>
        <v>0.10942611104029204</v>
      </c>
      <c r="T193" s="281">
        <f t="shared" si="100"/>
        <v>0.12868137262830254</v>
      </c>
      <c r="U193" s="281">
        <f t="shared" si="100"/>
        <v>-0.10742017776576855</v>
      </c>
      <c r="V193" s="281">
        <f t="shared" si="100"/>
        <v>-0.10213721820351762</v>
      </c>
      <c r="W193" s="281">
        <f t="shared" si="100"/>
        <v>-0.10742017776576855</v>
      </c>
      <c r="X193" s="281">
        <f t="shared" si="100"/>
        <v>-0.10742017776576855</v>
      </c>
      <c r="Y193" s="281">
        <f t="shared" si="100"/>
        <v>-0.10213721820351762</v>
      </c>
      <c r="Z193" s="281">
        <f t="shared" si="100"/>
        <v>-0.10213721820351762</v>
      </c>
      <c r="AA193" s="281">
        <f t="shared" si="100"/>
        <v>-0.10037623168276731</v>
      </c>
      <c r="AB193" s="281">
        <f t="shared" si="100"/>
        <v>-0.10037623168276731</v>
      </c>
      <c r="AC193" s="271"/>
      <c r="AD193" s="271"/>
    </row>
    <row r="194" spans="3:30" x14ac:dyDescent="0.25">
      <c r="D194" s="32"/>
      <c r="E194" s="32"/>
      <c r="F194" s="191" t="s">
        <v>190</v>
      </c>
      <c r="G194" t="s">
        <v>268</v>
      </c>
      <c r="H194" s="271"/>
      <c r="I194" s="271"/>
      <c r="J194" s="282">
        <f t="shared" ref="J194:AB194" si="102">hundred * $H31 * J56 / $H44 * J94 / hours_in_year</f>
        <v>0</v>
      </c>
      <c r="K194" s="282">
        <f t="shared" si="102"/>
        <v>0</v>
      </c>
      <c r="L194" s="282">
        <f t="shared" si="102"/>
        <v>0</v>
      </c>
      <c r="M194" s="282">
        <f t="shared" si="102"/>
        <v>0</v>
      </c>
      <c r="N194" s="282">
        <f t="shared" si="102"/>
        <v>0</v>
      </c>
      <c r="O194" s="282">
        <f t="shared" si="102"/>
        <v>0</v>
      </c>
      <c r="P194" s="282">
        <f t="shared" si="102"/>
        <v>0</v>
      </c>
      <c r="Q194" s="282">
        <f t="shared" ref="Q194:S194" si="103">hundred * $H31 * Q56 / $H44 * Q94 / hours_in_year</f>
        <v>0</v>
      </c>
      <c r="R194" s="282">
        <f t="shared" si="103"/>
        <v>0</v>
      </c>
      <c r="S194" s="282">
        <f t="shared" si="103"/>
        <v>0</v>
      </c>
      <c r="T194" s="282">
        <f t="shared" si="102"/>
        <v>0</v>
      </c>
      <c r="U194" s="282">
        <f t="shared" si="102"/>
        <v>0</v>
      </c>
      <c r="V194" s="282">
        <f t="shared" si="102"/>
        <v>0</v>
      </c>
      <c r="W194" s="282">
        <f t="shared" si="102"/>
        <v>0</v>
      </c>
      <c r="X194" s="282">
        <f t="shared" si="102"/>
        <v>0</v>
      </c>
      <c r="Y194" s="282">
        <f t="shared" si="102"/>
        <v>0</v>
      </c>
      <c r="Z194" s="282">
        <f t="shared" si="102"/>
        <v>0</v>
      </c>
      <c r="AA194" s="282">
        <f t="shared" si="102"/>
        <v>0</v>
      </c>
      <c r="AB194" s="282">
        <f t="shared" si="102"/>
        <v>0</v>
      </c>
      <c r="AC194" s="271"/>
      <c r="AD194" s="271"/>
    </row>
    <row r="195" spans="3:30" x14ac:dyDescent="0.25">
      <c r="D195" s="32"/>
      <c r="E195" s="32"/>
      <c r="F195" s="191" t="s">
        <v>191</v>
      </c>
      <c r="G195" t="s">
        <v>268</v>
      </c>
      <c r="H195" s="271"/>
      <c r="I195" s="271"/>
      <c r="J195" s="282">
        <f t="shared" ref="J195:AB195" si="104">hundred * $H32 * J57 / $H45 * J95 / hours_in_year</f>
        <v>0</v>
      </c>
      <c r="K195" s="282">
        <f t="shared" si="104"/>
        <v>0</v>
      </c>
      <c r="L195" s="282">
        <f t="shared" si="104"/>
        <v>0</v>
      </c>
      <c r="M195" s="282">
        <f t="shared" si="104"/>
        <v>0</v>
      </c>
      <c r="N195" s="282">
        <f t="shared" si="104"/>
        <v>0</v>
      </c>
      <c r="O195" s="282">
        <f t="shared" si="104"/>
        <v>0</v>
      </c>
      <c r="P195" s="282">
        <f t="shared" si="104"/>
        <v>0</v>
      </c>
      <c r="Q195" s="282">
        <f t="shared" ref="Q195:S195" si="105">hundred * $H32 * Q57 / $H45 * Q95 / hours_in_year</f>
        <v>0</v>
      </c>
      <c r="R195" s="282">
        <f t="shared" si="105"/>
        <v>0</v>
      </c>
      <c r="S195" s="282">
        <f t="shared" si="105"/>
        <v>0</v>
      </c>
      <c r="T195" s="282">
        <f t="shared" si="104"/>
        <v>0</v>
      </c>
      <c r="U195" s="282">
        <f t="shared" si="104"/>
        <v>0</v>
      </c>
      <c r="V195" s="282">
        <f t="shared" si="104"/>
        <v>0</v>
      </c>
      <c r="W195" s="282">
        <f t="shared" si="104"/>
        <v>0</v>
      </c>
      <c r="X195" s="282">
        <f t="shared" si="104"/>
        <v>0</v>
      </c>
      <c r="Y195" s="282">
        <f t="shared" si="104"/>
        <v>0</v>
      </c>
      <c r="Z195" s="282">
        <f t="shared" si="104"/>
        <v>0</v>
      </c>
      <c r="AA195" s="282">
        <f t="shared" si="104"/>
        <v>0</v>
      </c>
      <c r="AB195" s="282">
        <f t="shared" si="104"/>
        <v>0</v>
      </c>
      <c r="AC195" s="271"/>
      <c r="AD195" s="271"/>
    </row>
    <row r="196" spans="3:30" x14ac:dyDescent="0.25">
      <c r="D196" s="32"/>
      <c r="E196" s="32"/>
      <c r="F196" s="191" t="s">
        <v>192</v>
      </c>
      <c r="G196" t="s">
        <v>268</v>
      </c>
      <c r="H196" s="271"/>
      <c r="I196" s="271"/>
      <c r="J196" s="282">
        <f t="shared" ref="J196:AB196" si="106">hundred * $H33 * J58 / $H46 * J96 / hours_in_year</f>
        <v>0</v>
      </c>
      <c r="K196" s="282">
        <f t="shared" si="106"/>
        <v>0</v>
      </c>
      <c r="L196" s="282">
        <f t="shared" si="106"/>
        <v>0</v>
      </c>
      <c r="M196" s="282">
        <f t="shared" si="106"/>
        <v>0</v>
      </c>
      <c r="N196" s="282">
        <f t="shared" si="106"/>
        <v>0</v>
      </c>
      <c r="O196" s="282">
        <f t="shared" si="106"/>
        <v>0</v>
      </c>
      <c r="P196" s="282">
        <f t="shared" si="106"/>
        <v>0</v>
      </c>
      <c r="Q196" s="282">
        <f t="shared" ref="Q196:S196" si="107">hundred * $H33 * Q58 / $H46 * Q96 / hours_in_year</f>
        <v>0</v>
      </c>
      <c r="R196" s="282">
        <f t="shared" si="107"/>
        <v>0</v>
      </c>
      <c r="S196" s="282">
        <f t="shared" si="107"/>
        <v>0</v>
      </c>
      <c r="T196" s="282">
        <f t="shared" si="106"/>
        <v>0</v>
      </c>
      <c r="U196" s="282">
        <f t="shared" si="106"/>
        <v>0</v>
      </c>
      <c r="V196" s="282">
        <f t="shared" si="106"/>
        <v>0</v>
      </c>
      <c r="W196" s="282">
        <f t="shared" si="106"/>
        <v>0</v>
      </c>
      <c r="X196" s="282">
        <f t="shared" si="106"/>
        <v>0</v>
      </c>
      <c r="Y196" s="282">
        <f t="shared" si="106"/>
        <v>0</v>
      </c>
      <c r="Z196" s="282">
        <f t="shared" si="106"/>
        <v>0</v>
      </c>
      <c r="AA196" s="282">
        <f t="shared" si="106"/>
        <v>0</v>
      </c>
      <c r="AB196" s="282">
        <f t="shared" si="106"/>
        <v>0</v>
      </c>
      <c r="AC196" s="271"/>
      <c r="AD196" s="271"/>
    </row>
    <row r="197" spans="3:30" x14ac:dyDescent="0.25">
      <c r="D197" s="32"/>
      <c r="E197" s="32"/>
      <c r="F197" s="191" t="s">
        <v>193</v>
      </c>
      <c r="G197" t="s">
        <v>268</v>
      </c>
      <c r="H197" s="271"/>
      <c r="I197" s="271"/>
      <c r="J197" s="282">
        <f t="shared" ref="J197:AB197" si="108">hundred * $H34 * J59 / $H47 * J97 / hours_in_year</f>
        <v>0.10632005430821767</v>
      </c>
      <c r="K197" s="282">
        <f t="shared" si="108"/>
        <v>0.10632005430821767</v>
      </c>
      <c r="L197" s="282">
        <f t="shared" si="108"/>
        <v>0.12349128116863302</v>
      </c>
      <c r="M197" s="282">
        <f t="shared" si="108"/>
        <v>0.12349128116863302</v>
      </c>
      <c r="N197" s="282">
        <f t="shared" si="108"/>
        <v>9.5462131868720837E-2</v>
      </c>
      <c r="O197" s="282">
        <f t="shared" si="108"/>
        <v>7.7643020732065263E-2</v>
      </c>
      <c r="P197" s="282">
        <f t="shared" si="108"/>
        <v>7.7449742421129855E-2</v>
      </c>
      <c r="Q197" s="282">
        <f t="shared" ref="Q197:S197" si="109">hundred * $H34 * Q59 / $H47 * Q97 / hours_in_year</f>
        <v>9.5462131868720837E-2</v>
      </c>
      <c r="R197" s="282">
        <f t="shared" si="109"/>
        <v>7.7643020732065263E-2</v>
      </c>
      <c r="S197" s="282">
        <f t="shared" si="109"/>
        <v>7.7449742421129855E-2</v>
      </c>
      <c r="T197" s="282">
        <f t="shared" si="108"/>
        <v>9.1078254264100933E-2</v>
      </c>
      <c r="U197" s="282">
        <f t="shared" si="108"/>
        <v>-7.6029980593273136E-2</v>
      </c>
      <c r="V197" s="282">
        <f t="shared" si="108"/>
        <v>-7.2290801219833487E-2</v>
      </c>
      <c r="W197" s="282">
        <f t="shared" si="108"/>
        <v>-7.6029980593273136E-2</v>
      </c>
      <c r="X197" s="282">
        <f t="shared" si="108"/>
        <v>-7.6029980593273136E-2</v>
      </c>
      <c r="Y197" s="282">
        <f t="shared" si="108"/>
        <v>-7.2290801219833487E-2</v>
      </c>
      <c r="Z197" s="282">
        <f t="shared" si="108"/>
        <v>-7.2290801219833487E-2</v>
      </c>
      <c r="AA197" s="282">
        <f t="shared" si="108"/>
        <v>-7.1044408095353589E-2</v>
      </c>
      <c r="AB197" s="282">
        <f t="shared" si="108"/>
        <v>-7.1044408095353589E-2</v>
      </c>
      <c r="AC197" s="271"/>
      <c r="AD197" s="271"/>
    </row>
    <row r="198" spans="3:30" x14ac:dyDescent="0.25">
      <c r="D198" s="32"/>
      <c r="E198" s="32"/>
      <c r="F198" s="191" t="s">
        <v>194</v>
      </c>
      <c r="G198" t="s">
        <v>268</v>
      </c>
      <c r="H198" s="271"/>
      <c r="I198" s="271"/>
      <c r="J198" s="282">
        <f t="shared" ref="J198:AB198" si="110">hundred * $H35 * J60 / $H48 * J98 / hours_in_year</f>
        <v>3.586091371228798E-2</v>
      </c>
      <c r="K198" s="282">
        <f t="shared" si="110"/>
        <v>3.586091371228798E-2</v>
      </c>
      <c r="L198" s="282">
        <f t="shared" si="110"/>
        <v>4.1652632770203112E-2</v>
      </c>
      <c r="M198" s="282">
        <f t="shared" si="110"/>
        <v>4.1652632770203112E-2</v>
      </c>
      <c r="N198" s="282">
        <f t="shared" si="110"/>
        <v>3.2198622320216939E-2</v>
      </c>
      <c r="O198" s="282">
        <f t="shared" si="110"/>
        <v>2.6188377018339912E-2</v>
      </c>
      <c r="P198" s="282">
        <f t="shared" si="110"/>
        <v>2.6123185772191582E-2</v>
      </c>
      <c r="Q198" s="282">
        <f t="shared" ref="Q198:S198" si="111">hundred * $H35 * Q60 / $H48 * Q98 / hours_in_year</f>
        <v>3.2198622320216939E-2</v>
      </c>
      <c r="R198" s="282">
        <f t="shared" si="111"/>
        <v>2.6188377018339912E-2</v>
      </c>
      <c r="S198" s="282">
        <f t="shared" si="111"/>
        <v>2.6123185772191582E-2</v>
      </c>
      <c r="T198" s="282">
        <f t="shared" si="110"/>
        <v>2.7341682724234446E-2</v>
      </c>
      <c r="U198" s="282">
        <f t="shared" si="110"/>
        <v>-2.5644311332820316E-2</v>
      </c>
      <c r="V198" s="282">
        <f t="shared" si="110"/>
        <v>-2.4383115693501281E-2</v>
      </c>
      <c r="W198" s="282">
        <f t="shared" si="110"/>
        <v>-2.5644311332820316E-2</v>
      </c>
      <c r="X198" s="282">
        <f t="shared" si="110"/>
        <v>-2.5644311332820316E-2</v>
      </c>
      <c r="Y198" s="282">
        <f t="shared" si="110"/>
        <v>-2.4383115693501281E-2</v>
      </c>
      <c r="Z198" s="282">
        <f t="shared" si="110"/>
        <v>-2.4383115693501281E-2</v>
      </c>
      <c r="AA198" s="282">
        <f t="shared" si="110"/>
        <v>-2.3962717147061607E-2</v>
      </c>
      <c r="AB198" s="282">
        <f t="shared" si="110"/>
        <v>-2.3962717147061607E-2</v>
      </c>
      <c r="AC198" s="271"/>
      <c r="AD198" s="271"/>
    </row>
    <row r="199" spans="3:30" x14ac:dyDescent="0.25">
      <c r="D199" s="32"/>
      <c r="E199" s="32"/>
      <c r="F199" s="191" t="s">
        <v>195</v>
      </c>
      <c r="G199" t="s">
        <v>268</v>
      </c>
      <c r="H199" s="271"/>
      <c r="I199" s="271"/>
      <c r="J199" s="282">
        <f t="shared" ref="J199:AB199" si="112">hundred * $H36 * J61 / $H49 * J99 / hours_in_year</f>
        <v>0</v>
      </c>
      <c r="K199" s="282">
        <f t="shared" si="112"/>
        <v>0</v>
      </c>
      <c r="L199" s="282">
        <f t="shared" si="112"/>
        <v>0</v>
      </c>
      <c r="M199" s="282">
        <f t="shared" si="112"/>
        <v>0</v>
      </c>
      <c r="N199" s="282">
        <f t="shared" si="112"/>
        <v>0</v>
      </c>
      <c r="O199" s="282">
        <f t="shared" si="112"/>
        <v>0</v>
      </c>
      <c r="P199" s="282">
        <f t="shared" si="112"/>
        <v>0</v>
      </c>
      <c r="Q199" s="282">
        <f t="shared" ref="Q199:S199" si="113">hundred * $H36 * Q61 / $H49 * Q99 / hours_in_year</f>
        <v>0</v>
      </c>
      <c r="R199" s="282">
        <f t="shared" si="113"/>
        <v>0</v>
      </c>
      <c r="S199" s="282">
        <f t="shared" si="113"/>
        <v>0</v>
      </c>
      <c r="T199" s="282">
        <f t="shared" si="112"/>
        <v>0</v>
      </c>
      <c r="U199" s="282">
        <f t="shared" si="112"/>
        <v>0</v>
      </c>
      <c r="V199" s="282">
        <f t="shared" si="112"/>
        <v>0</v>
      </c>
      <c r="W199" s="282">
        <f t="shared" si="112"/>
        <v>0</v>
      </c>
      <c r="X199" s="282">
        <f t="shared" si="112"/>
        <v>0</v>
      </c>
      <c r="Y199" s="282">
        <f t="shared" si="112"/>
        <v>0</v>
      </c>
      <c r="Z199" s="282">
        <f t="shared" si="112"/>
        <v>0</v>
      </c>
      <c r="AA199" s="282">
        <f t="shared" si="112"/>
        <v>0</v>
      </c>
      <c r="AB199" s="282">
        <f t="shared" si="112"/>
        <v>0</v>
      </c>
      <c r="AC199" s="271"/>
      <c r="AD199" s="271"/>
    </row>
    <row r="200" spans="3:30" x14ac:dyDescent="0.25">
      <c r="D200" s="32"/>
      <c r="E200" s="32"/>
      <c r="F200" s="191" t="s">
        <v>196</v>
      </c>
      <c r="G200" t="s">
        <v>268</v>
      </c>
      <c r="H200" s="271"/>
      <c r="I200" s="271"/>
      <c r="J200" s="282">
        <f t="shared" ref="J200:AB200" si="114">hundred * $H37 * J62 / $H50 * J100 / hours_in_year</f>
        <v>0.15427465541852464</v>
      </c>
      <c r="K200" s="282">
        <f t="shared" si="114"/>
        <v>0.15427465541852464</v>
      </c>
      <c r="L200" s="282">
        <f t="shared" si="114"/>
        <v>0.1791907930582243</v>
      </c>
      <c r="M200" s="282">
        <f t="shared" si="114"/>
        <v>0.1791907930582243</v>
      </c>
      <c r="N200" s="282">
        <f t="shared" si="114"/>
        <v>0.13851937525229766</v>
      </c>
      <c r="O200" s="282">
        <f t="shared" si="114"/>
        <v>0.1126631315891541</v>
      </c>
      <c r="P200" s="282">
        <f t="shared" si="114"/>
        <v>0.1123826770219189</v>
      </c>
      <c r="Q200" s="282">
        <f t="shared" ref="Q200:S200" si="115">hundred * $H37 * Q62 / $H50 * Q100 / hours_in_year</f>
        <v>0.13851937525229766</v>
      </c>
      <c r="R200" s="282">
        <f t="shared" si="115"/>
        <v>0.1126631315891541</v>
      </c>
      <c r="S200" s="282">
        <f t="shared" si="115"/>
        <v>0.1123826770219189</v>
      </c>
      <c r="T200" s="282">
        <f t="shared" si="114"/>
        <v>0.11762468504528174</v>
      </c>
      <c r="U200" s="282">
        <f t="shared" si="114"/>
        <v>-0.11032254576827975</v>
      </c>
      <c r="V200" s="282">
        <f t="shared" si="114"/>
        <v>-0.10489684679606927</v>
      </c>
      <c r="W200" s="282">
        <f t="shared" si="114"/>
        <v>-0.11032254576827975</v>
      </c>
      <c r="X200" s="282">
        <f t="shared" si="114"/>
        <v>-0.11032254576827975</v>
      </c>
      <c r="Y200" s="282">
        <f t="shared" si="114"/>
        <v>-0.10489684679606927</v>
      </c>
      <c r="Z200" s="282">
        <f t="shared" si="114"/>
        <v>-0.10489684679606927</v>
      </c>
      <c r="AA200" s="282">
        <f t="shared" si="114"/>
        <v>0</v>
      </c>
      <c r="AB200" s="282">
        <f t="shared" si="114"/>
        <v>0</v>
      </c>
      <c r="AC200" s="271"/>
      <c r="AD200" s="271"/>
    </row>
    <row r="201" spans="3:30" x14ac:dyDescent="0.25">
      <c r="D201" s="32"/>
      <c r="E201" s="32"/>
      <c r="F201" s="191" t="s">
        <v>197</v>
      </c>
      <c r="G201" t="s">
        <v>268</v>
      </c>
      <c r="H201" s="271"/>
      <c r="I201" s="271"/>
      <c r="J201" s="282">
        <f t="shared" ref="J201:AB201" si="116">hundred * $H38 * J63 / $H51 * J101 / hours_in_year</f>
        <v>3.8773589259178273E-2</v>
      </c>
      <c r="K201" s="282">
        <f t="shared" si="116"/>
        <v>3.8773589259178273E-2</v>
      </c>
      <c r="L201" s="282">
        <f t="shared" si="116"/>
        <v>4.5035720159072423E-2</v>
      </c>
      <c r="M201" s="282">
        <f t="shared" si="116"/>
        <v>4.5035720159072423E-2</v>
      </c>
      <c r="N201" s="282">
        <f t="shared" si="116"/>
        <v>3.4813841235944575E-2</v>
      </c>
      <c r="O201" s="282">
        <f t="shared" si="116"/>
        <v>2.8315435072856953E-2</v>
      </c>
      <c r="P201" s="282">
        <f t="shared" si="116"/>
        <v>0</v>
      </c>
      <c r="Q201" s="282">
        <f t="shared" ref="Q201:S201" si="117">hundred * $H38 * Q63 / $H51 * Q101 / hours_in_year</f>
        <v>3.4813841235944575E-2</v>
      </c>
      <c r="R201" s="282">
        <f t="shared" si="117"/>
        <v>2.8315435072856953E-2</v>
      </c>
      <c r="S201" s="282">
        <f t="shared" si="117"/>
        <v>0</v>
      </c>
      <c r="T201" s="282">
        <f t="shared" si="116"/>
        <v>2.9562413944878786E-2</v>
      </c>
      <c r="U201" s="282">
        <f t="shared" si="116"/>
        <v>-2.7727179581387928E-2</v>
      </c>
      <c r="V201" s="282">
        <f t="shared" si="116"/>
        <v>0</v>
      </c>
      <c r="W201" s="282">
        <f t="shared" si="116"/>
        <v>-2.7727179581387928E-2</v>
      </c>
      <c r="X201" s="282">
        <f t="shared" si="116"/>
        <v>-2.7727179581387928E-2</v>
      </c>
      <c r="Y201" s="282">
        <f t="shared" si="116"/>
        <v>0</v>
      </c>
      <c r="Z201" s="282">
        <f t="shared" si="116"/>
        <v>0</v>
      </c>
      <c r="AA201" s="282">
        <f t="shared" si="116"/>
        <v>0</v>
      </c>
      <c r="AB201" s="282">
        <f t="shared" si="116"/>
        <v>0</v>
      </c>
      <c r="AC201" s="271"/>
      <c r="AD201" s="271"/>
    </row>
    <row r="202" spans="3:30" x14ac:dyDescent="0.25">
      <c r="D202" s="32"/>
      <c r="E202" s="32"/>
      <c r="F202" s="192" t="s">
        <v>198</v>
      </c>
      <c r="G202" s="37" t="s">
        <v>268</v>
      </c>
      <c r="H202" s="275"/>
      <c r="I202" s="275"/>
      <c r="J202" s="283">
        <f t="shared" ref="J202:AB202" si="118">hundred * $H39 * J64 / $H52 * J102 / hours_in_year</f>
        <v>6.5218402997648611E-2</v>
      </c>
      <c r="K202" s="283">
        <f t="shared" si="118"/>
        <v>6.5218402997648611E-2</v>
      </c>
      <c r="L202" s="283">
        <f t="shared" si="118"/>
        <v>7.575150515446398E-2</v>
      </c>
      <c r="M202" s="283">
        <f t="shared" si="118"/>
        <v>7.575150515446398E-2</v>
      </c>
      <c r="N202" s="283">
        <f t="shared" si="118"/>
        <v>5.8557981631389179E-2</v>
      </c>
      <c r="O202" s="283">
        <f t="shared" si="118"/>
        <v>0</v>
      </c>
      <c r="P202" s="283">
        <f t="shared" si="118"/>
        <v>0</v>
      </c>
      <c r="Q202" s="283">
        <f t="shared" ref="Q202:S202" si="119">hundred * $H39 * Q64 / $H52 * Q102 / hours_in_year</f>
        <v>5.8557981631389179E-2</v>
      </c>
      <c r="R202" s="283">
        <f t="shared" si="119"/>
        <v>0</v>
      </c>
      <c r="S202" s="283">
        <f t="shared" si="119"/>
        <v>0</v>
      </c>
      <c r="T202" s="283">
        <f t="shared" si="118"/>
        <v>4.9724914898973988E-2</v>
      </c>
      <c r="U202" s="283">
        <f t="shared" si="118"/>
        <v>0</v>
      </c>
      <c r="V202" s="283">
        <f t="shared" si="118"/>
        <v>0</v>
      </c>
      <c r="W202" s="283">
        <f t="shared" si="118"/>
        <v>0</v>
      </c>
      <c r="X202" s="283">
        <f t="shared" si="118"/>
        <v>0</v>
      </c>
      <c r="Y202" s="283">
        <f t="shared" si="118"/>
        <v>0</v>
      </c>
      <c r="Z202" s="283">
        <f t="shared" si="118"/>
        <v>0</v>
      </c>
      <c r="AA202" s="283">
        <f t="shared" si="118"/>
        <v>0</v>
      </c>
      <c r="AB202" s="283">
        <f t="shared" si="118"/>
        <v>0</v>
      </c>
      <c r="AC202" s="271"/>
      <c r="AD202" s="271"/>
    </row>
    <row r="203" spans="3:30" x14ac:dyDescent="0.25">
      <c r="C203" s="32"/>
      <c r="D203" s="32"/>
      <c r="E203" s="32"/>
      <c r="J203" s="163"/>
      <c r="K203" s="163"/>
      <c r="L203" s="163"/>
      <c r="M203" s="163"/>
      <c r="N203" s="163"/>
      <c r="O203" s="163"/>
      <c r="P203" s="163"/>
      <c r="Q203" s="163"/>
      <c r="R203" s="163"/>
      <c r="S203" s="163"/>
      <c r="T203" s="163"/>
      <c r="U203" s="163"/>
      <c r="V203" s="163"/>
      <c r="W203" s="163"/>
      <c r="X203" s="163"/>
      <c r="Y203" s="163"/>
      <c r="Z203" s="163"/>
      <c r="AA203" s="163"/>
      <c r="AB203" s="163"/>
    </row>
    <row r="204" spans="3:30" x14ac:dyDescent="0.25">
      <c r="C204" s="31" t="str">
        <f ca="1">INDEX('Version control'!$H$34:$H$57,MATCH($A$1,'Version control'!$F$34:$F$57,0),1)&amp;"-E: Unit rate 3"</f>
        <v>Section 109-E: Unit rate 3</v>
      </c>
      <c r="D204" s="31"/>
      <c r="E204" s="31"/>
      <c r="F204" s="31"/>
      <c r="G204" s="31"/>
      <c r="H204" s="31"/>
      <c r="I204" s="31"/>
      <c r="J204" s="198"/>
      <c r="K204" s="198"/>
      <c r="L204" s="198"/>
      <c r="M204" s="198"/>
      <c r="N204" s="198"/>
      <c r="O204" s="198"/>
      <c r="P204" s="198"/>
      <c r="Q204" s="198"/>
      <c r="R204" s="198"/>
      <c r="S204" s="198"/>
      <c r="T204" s="198"/>
      <c r="U204" s="198"/>
      <c r="V204" s="198"/>
      <c r="W204" s="198"/>
      <c r="X204" s="198"/>
      <c r="Y204" s="198"/>
      <c r="Z204" s="198"/>
      <c r="AA204" s="198"/>
      <c r="AB204" s="198"/>
      <c r="AC204" s="31"/>
      <c r="AD204" s="31"/>
    </row>
    <row r="205" spans="3:30" x14ac:dyDescent="0.25">
      <c r="C205" s="32"/>
      <c r="D205" s="32"/>
      <c r="E205" s="32"/>
      <c r="J205" s="163"/>
      <c r="K205" s="163"/>
      <c r="L205" s="163"/>
      <c r="M205" s="163"/>
      <c r="N205" s="163"/>
      <c r="O205" s="163"/>
      <c r="P205" s="163"/>
      <c r="Q205" s="163"/>
      <c r="R205" s="163"/>
      <c r="S205" s="163"/>
      <c r="T205" s="163"/>
      <c r="U205" s="163"/>
      <c r="V205" s="163"/>
      <c r="W205" s="163"/>
      <c r="X205" s="163"/>
      <c r="Y205" s="163"/>
      <c r="Z205" s="163"/>
      <c r="AA205" s="163"/>
      <c r="AB205" s="163"/>
    </row>
    <row r="206" spans="3:30" x14ac:dyDescent="0.25">
      <c r="C206" s="29" t="s">
        <v>626</v>
      </c>
      <c r="D206" s="32"/>
      <c r="E206" s="32"/>
      <c r="I206" s="3" t="s">
        <v>153</v>
      </c>
      <c r="J206" s="163"/>
      <c r="K206" s="163"/>
      <c r="L206" s="163"/>
      <c r="M206" s="163"/>
      <c r="N206" s="163"/>
      <c r="O206" s="163"/>
      <c r="P206" s="163"/>
      <c r="Q206" s="163"/>
      <c r="R206" s="163"/>
      <c r="S206" s="163"/>
      <c r="T206" s="163"/>
      <c r="U206" s="163"/>
      <c r="V206" s="163"/>
      <c r="W206" s="163"/>
      <c r="X206" s="163"/>
      <c r="Y206" s="163"/>
      <c r="Z206" s="163"/>
      <c r="AA206" s="163"/>
      <c r="AB206" s="163"/>
      <c r="AD206" t="s">
        <v>624</v>
      </c>
    </row>
    <row r="207" spans="3:30" x14ac:dyDescent="0.25">
      <c r="C207" s="29" t="s">
        <v>627</v>
      </c>
      <c r="D207" s="32"/>
      <c r="E207" s="32"/>
      <c r="J207" s="163"/>
      <c r="K207" s="163"/>
      <c r="L207" s="163"/>
      <c r="M207" s="163"/>
      <c r="N207" s="163"/>
      <c r="O207" s="163"/>
      <c r="P207" s="163"/>
      <c r="Q207" s="163"/>
      <c r="R207" s="163"/>
      <c r="S207" s="163"/>
      <c r="T207" s="163"/>
      <c r="U207" s="163"/>
      <c r="V207" s="163"/>
      <c r="W207" s="163"/>
      <c r="X207" s="163"/>
      <c r="Y207" s="163"/>
      <c r="Z207" s="163"/>
      <c r="AA207" s="163"/>
      <c r="AB207" s="163"/>
    </row>
    <row r="208" spans="3:30" x14ac:dyDescent="0.25">
      <c r="C208" s="32"/>
      <c r="D208" s="32"/>
      <c r="E208" s="32"/>
    </row>
    <row r="209" spans="3:30" x14ac:dyDescent="0.25">
      <c r="E209" s="32" t="s">
        <v>620</v>
      </c>
      <c r="J209" s="163"/>
      <c r="K209" s="163"/>
      <c r="L209" s="163"/>
      <c r="M209" s="163"/>
      <c r="N209" s="163"/>
      <c r="O209" s="163"/>
      <c r="P209" s="163"/>
      <c r="Q209" s="163"/>
      <c r="R209" s="163"/>
      <c r="S209" s="163"/>
      <c r="T209" s="163"/>
      <c r="U209" s="163"/>
      <c r="V209" s="163"/>
      <c r="W209" s="163"/>
      <c r="X209" s="163"/>
      <c r="Y209" s="163"/>
      <c r="Z209" s="163"/>
      <c r="AA209" s="163"/>
      <c r="AB209" s="163"/>
    </row>
    <row r="210" spans="3:30" x14ac:dyDescent="0.25">
      <c r="E210" s="32"/>
      <c r="F210" s="190" t="s">
        <v>188</v>
      </c>
      <c r="G210" s="23" t="s">
        <v>268</v>
      </c>
      <c r="H210" s="269"/>
      <c r="I210" s="269"/>
      <c r="J210" s="281">
        <f t="shared" ref="J210:AB210" si="120">hundred * $H18 * J55 / $H43 * J105 * (1 - J67) / hours_in_year</f>
        <v>0</v>
      </c>
      <c r="K210" s="281">
        <f t="shared" si="120"/>
        <v>0</v>
      </c>
      <c r="L210" s="281">
        <f t="shared" si="120"/>
        <v>0</v>
      </c>
      <c r="M210" s="281">
        <f t="shared" si="120"/>
        <v>0</v>
      </c>
      <c r="N210" s="281">
        <f t="shared" si="120"/>
        <v>0</v>
      </c>
      <c r="O210" s="281">
        <f t="shared" si="120"/>
        <v>0</v>
      </c>
      <c r="P210" s="281">
        <f t="shared" si="120"/>
        <v>0</v>
      </c>
      <c r="Q210" s="281">
        <f t="shared" ref="Q210:S210" si="121">hundred * $H18 * Q55 / $H43 * Q105 * (1 - Q67) / hours_in_year</f>
        <v>0</v>
      </c>
      <c r="R210" s="281">
        <f t="shared" si="121"/>
        <v>0</v>
      </c>
      <c r="S210" s="281">
        <f t="shared" si="121"/>
        <v>0</v>
      </c>
      <c r="T210" s="281">
        <f t="shared" si="120"/>
        <v>0</v>
      </c>
      <c r="U210" s="281">
        <f t="shared" si="120"/>
        <v>0</v>
      </c>
      <c r="V210" s="281">
        <f t="shared" si="120"/>
        <v>0</v>
      </c>
      <c r="W210" s="281">
        <f t="shared" si="120"/>
        <v>0</v>
      </c>
      <c r="X210" s="281">
        <f t="shared" si="120"/>
        <v>0</v>
      </c>
      <c r="Y210" s="281">
        <f t="shared" si="120"/>
        <v>0</v>
      </c>
      <c r="Z210" s="281">
        <f t="shared" si="120"/>
        <v>0</v>
      </c>
      <c r="AA210" s="281">
        <f t="shared" si="120"/>
        <v>0</v>
      </c>
      <c r="AB210" s="281">
        <f t="shared" si="120"/>
        <v>0</v>
      </c>
      <c r="AC210" s="271"/>
      <c r="AD210" s="271"/>
    </row>
    <row r="211" spans="3:30" x14ac:dyDescent="0.25">
      <c r="E211" s="32"/>
      <c r="F211" s="191" t="s">
        <v>190</v>
      </c>
      <c r="G211" t="s">
        <v>268</v>
      </c>
      <c r="H211" s="271"/>
      <c r="I211" s="271"/>
      <c r="J211" s="282">
        <f t="shared" ref="J211:AB211" si="122">hundred * $H19 * J56 / $H44 * J106 * (1 - J68) / hours_in_year</f>
        <v>0</v>
      </c>
      <c r="K211" s="282">
        <f t="shared" si="122"/>
        <v>0</v>
      </c>
      <c r="L211" s="282">
        <f t="shared" si="122"/>
        <v>0</v>
      </c>
      <c r="M211" s="282">
        <f t="shared" si="122"/>
        <v>0</v>
      </c>
      <c r="N211" s="282">
        <f t="shared" si="122"/>
        <v>0</v>
      </c>
      <c r="O211" s="282">
        <f t="shared" si="122"/>
        <v>0</v>
      </c>
      <c r="P211" s="282">
        <f t="shared" si="122"/>
        <v>0</v>
      </c>
      <c r="Q211" s="282">
        <f t="shared" ref="Q211:S211" si="123">hundred * $H19 * Q56 / $H44 * Q106 * (1 - Q68) / hours_in_year</f>
        <v>0</v>
      </c>
      <c r="R211" s="282">
        <f t="shared" si="123"/>
        <v>0</v>
      </c>
      <c r="S211" s="282">
        <f t="shared" si="123"/>
        <v>0</v>
      </c>
      <c r="T211" s="282">
        <f t="shared" si="122"/>
        <v>0</v>
      </c>
      <c r="U211" s="282">
        <f t="shared" si="122"/>
        <v>0</v>
      </c>
      <c r="V211" s="282">
        <f t="shared" si="122"/>
        <v>0</v>
      </c>
      <c r="W211" s="282">
        <f t="shared" si="122"/>
        <v>0</v>
      </c>
      <c r="X211" s="282">
        <f t="shared" si="122"/>
        <v>0</v>
      </c>
      <c r="Y211" s="282">
        <f t="shared" si="122"/>
        <v>0</v>
      </c>
      <c r="Z211" s="282">
        <f t="shared" si="122"/>
        <v>0</v>
      </c>
      <c r="AA211" s="282">
        <f t="shared" si="122"/>
        <v>0</v>
      </c>
      <c r="AB211" s="282">
        <f t="shared" si="122"/>
        <v>0</v>
      </c>
      <c r="AC211" s="271"/>
      <c r="AD211" s="271"/>
    </row>
    <row r="212" spans="3:30" x14ac:dyDescent="0.25">
      <c r="E212" s="32"/>
      <c r="F212" s="191" t="s">
        <v>191</v>
      </c>
      <c r="G212" t="s">
        <v>268</v>
      </c>
      <c r="H212" s="271"/>
      <c r="I212" s="271"/>
      <c r="J212" s="282">
        <f t="shared" ref="J212:AB212" si="124">hundred * $H20 * J57 / $H45 * J107 * (1 - J69) / hours_in_year</f>
        <v>0</v>
      </c>
      <c r="K212" s="282">
        <f t="shared" si="124"/>
        <v>0</v>
      </c>
      <c r="L212" s="282">
        <f t="shared" si="124"/>
        <v>0</v>
      </c>
      <c r="M212" s="282">
        <f t="shared" si="124"/>
        <v>0</v>
      </c>
      <c r="N212" s="282">
        <f t="shared" si="124"/>
        <v>0</v>
      </c>
      <c r="O212" s="282">
        <f t="shared" si="124"/>
        <v>0</v>
      </c>
      <c r="P212" s="282">
        <f t="shared" si="124"/>
        <v>0</v>
      </c>
      <c r="Q212" s="282">
        <f t="shared" ref="Q212:S212" si="125">hundred * $H20 * Q57 / $H45 * Q107 * (1 - Q69) / hours_in_year</f>
        <v>0</v>
      </c>
      <c r="R212" s="282">
        <f t="shared" si="125"/>
        <v>0</v>
      </c>
      <c r="S212" s="282">
        <f t="shared" si="125"/>
        <v>0</v>
      </c>
      <c r="T212" s="282">
        <f t="shared" si="124"/>
        <v>0</v>
      </c>
      <c r="U212" s="282">
        <f t="shared" si="124"/>
        <v>0</v>
      </c>
      <c r="V212" s="282">
        <f t="shared" si="124"/>
        <v>0</v>
      </c>
      <c r="W212" s="282">
        <f t="shared" si="124"/>
        <v>0</v>
      </c>
      <c r="X212" s="282">
        <f t="shared" si="124"/>
        <v>0</v>
      </c>
      <c r="Y212" s="282">
        <f t="shared" si="124"/>
        <v>0</v>
      </c>
      <c r="Z212" s="282">
        <f t="shared" si="124"/>
        <v>0</v>
      </c>
      <c r="AA212" s="282">
        <f t="shared" si="124"/>
        <v>0</v>
      </c>
      <c r="AB212" s="282">
        <f t="shared" si="124"/>
        <v>0</v>
      </c>
      <c r="AC212" s="271"/>
      <c r="AD212" s="271"/>
    </row>
    <row r="213" spans="3:30" x14ac:dyDescent="0.25">
      <c r="E213" s="32"/>
      <c r="F213" s="191" t="s">
        <v>192</v>
      </c>
      <c r="G213" t="s">
        <v>268</v>
      </c>
      <c r="H213" s="271"/>
      <c r="I213" s="271"/>
      <c r="J213" s="282">
        <f t="shared" ref="J213:AB213" si="126">hundred * $H21 * J58 / $H46 * J108 * (1 - J70) / hours_in_year</f>
        <v>0</v>
      </c>
      <c r="K213" s="282">
        <f t="shared" si="126"/>
        <v>0</v>
      </c>
      <c r="L213" s="282">
        <f t="shared" si="126"/>
        <v>0</v>
      </c>
      <c r="M213" s="282">
        <f t="shared" si="126"/>
        <v>0</v>
      </c>
      <c r="N213" s="282">
        <f t="shared" si="126"/>
        <v>0</v>
      </c>
      <c r="O213" s="282">
        <f t="shared" si="126"/>
        <v>0</v>
      </c>
      <c r="P213" s="282">
        <f t="shared" si="126"/>
        <v>0</v>
      </c>
      <c r="Q213" s="282">
        <f t="shared" ref="Q213:S213" si="127">hundred * $H21 * Q58 / $H46 * Q108 * (1 - Q70) / hours_in_year</f>
        <v>0</v>
      </c>
      <c r="R213" s="282">
        <f t="shared" si="127"/>
        <v>0</v>
      </c>
      <c r="S213" s="282">
        <f t="shared" si="127"/>
        <v>0</v>
      </c>
      <c r="T213" s="282">
        <f t="shared" si="126"/>
        <v>0</v>
      </c>
      <c r="U213" s="282">
        <f t="shared" si="126"/>
        <v>0</v>
      </c>
      <c r="V213" s="282">
        <f t="shared" si="126"/>
        <v>0</v>
      </c>
      <c r="W213" s="282">
        <f t="shared" si="126"/>
        <v>0</v>
      </c>
      <c r="X213" s="282">
        <f t="shared" si="126"/>
        <v>0</v>
      </c>
      <c r="Y213" s="282">
        <f t="shared" si="126"/>
        <v>0</v>
      </c>
      <c r="Z213" s="282">
        <f t="shared" si="126"/>
        <v>0</v>
      </c>
      <c r="AA213" s="282">
        <f t="shared" si="126"/>
        <v>0</v>
      </c>
      <c r="AB213" s="282">
        <f t="shared" si="126"/>
        <v>0</v>
      </c>
      <c r="AC213" s="271"/>
      <c r="AD213" s="271"/>
    </row>
    <row r="214" spans="3:30" x14ac:dyDescent="0.25">
      <c r="E214" s="32"/>
      <c r="F214" s="191" t="s">
        <v>193</v>
      </c>
      <c r="G214" t="s">
        <v>268</v>
      </c>
      <c r="H214" s="271"/>
      <c r="I214" s="271"/>
      <c r="J214" s="282">
        <f t="shared" ref="J214:AB214" si="128">hundred * $H22 * J59 / $H47 * J109 * (1 - J71) / hours_in_year</f>
        <v>2.3063648481960884E-3</v>
      </c>
      <c r="K214" s="282">
        <f t="shared" si="128"/>
        <v>2.3063648481960884E-3</v>
      </c>
      <c r="L214" s="282">
        <f t="shared" si="128"/>
        <v>2.6788544437756252E-3</v>
      </c>
      <c r="M214" s="282">
        <f t="shared" si="128"/>
        <v>2.6788544437756252E-3</v>
      </c>
      <c r="N214" s="282">
        <f t="shared" si="128"/>
        <v>2.0708276223939054E-3</v>
      </c>
      <c r="O214" s="282">
        <f t="shared" si="128"/>
        <v>1.684283693131584E-3</v>
      </c>
      <c r="P214" s="282">
        <f t="shared" si="128"/>
        <v>1.6278393392289501E-3</v>
      </c>
      <c r="Q214" s="282">
        <f t="shared" ref="Q214:S214" si="129">hundred * $H22 * Q59 / $H47 * Q109 * (1 - Q71) / hours_in_year</f>
        <v>2.0708276223939054E-3</v>
      </c>
      <c r="R214" s="282">
        <f t="shared" si="129"/>
        <v>1.684283693131584E-3</v>
      </c>
      <c r="S214" s="282">
        <f t="shared" si="129"/>
        <v>1.6278393392289501E-3</v>
      </c>
      <c r="T214" s="282">
        <f t="shared" si="128"/>
        <v>1.8127412956928774E-3</v>
      </c>
      <c r="U214" s="282">
        <f t="shared" si="128"/>
        <v>-1.6492925609407124E-3</v>
      </c>
      <c r="V214" s="282">
        <f t="shared" si="128"/>
        <v>-1.5681798120419888E-3</v>
      </c>
      <c r="W214" s="282">
        <f t="shared" si="128"/>
        <v>-1.6492925609407124E-3</v>
      </c>
      <c r="X214" s="282">
        <f t="shared" si="128"/>
        <v>-1.6492925609407124E-3</v>
      </c>
      <c r="Y214" s="282">
        <f t="shared" si="128"/>
        <v>-1.5681798120419888E-3</v>
      </c>
      <c r="Z214" s="282">
        <f t="shared" si="128"/>
        <v>-1.5681798120419888E-3</v>
      </c>
      <c r="AA214" s="282">
        <f t="shared" si="128"/>
        <v>-1.4932119683628653E-3</v>
      </c>
      <c r="AB214" s="282">
        <f t="shared" si="128"/>
        <v>-1.4932119683628653E-3</v>
      </c>
      <c r="AC214" s="271"/>
      <c r="AD214" s="271"/>
    </row>
    <row r="215" spans="3:30" x14ac:dyDescent="0.25">
      <c r="E215" s="32"/>
      <c r="F215" s="191" t="s">
        <v>194</v>
      </c>
      <c r="G215" t="s">
        <v>268</v>
      </c>
      <c r="H215" s="271"/>
      <c r="I215" s="271"/>
      <c r="J215" s="282">
        <f t="shared" ref="J215:AB215" si="130">hundred * $H23 * J60 / $H48 * J110 * (1 - J72) / hours_in_year</f>
        <v>1.6495075700587941E-3</v>
      </c>
      <c r="K215" s="282">
        <f t="shared" si="130"/>
        <v>1.6495075700587941E-3</v>
      </c>
      <c r="L215" s="282">
        <f t="shared" si="130"/>
        <v>1.9159113908407291E-3</v>
      </c>
      <c r="M215" s="282">
        <f t="shared" si="130"/>
        <v>1.9159113908407291E-3</v>
      </c>
      <c r="N215" s="282">
        <f t="shared" si="130"/>
        <v>1.4810518128115279E-3</v>
      </c>
      <c r="O215" s="282">
        <f t="shared" si="130"/>
        <v>1.2045963604241177E-3</v>
      </c>
      <c r="P215" s="282">
        <f t="shared" si="130"/>
        <v>1.0308235481418159E-3</v>
      </c>
      <c r="Q215" s="282">
        <f t="shared" ref="Q215:S215" si="131">hundred * $H23 * Q60 / $H48 * Q110 * (1 - Q72) / hours_in_year</f>
        <v>1.4810518128115279E-3</v>
      </c>
      <c r="R215" s="282">
        <f t="shared" si="131"/>
        <v>1.2045963604241177E-3</v>
      </c>
      <c r="S215" s="282">
        <f t="shared" si="131"/>
        <v>1.0308235481418159E-3</v>
      </c>
      <c r="T215" s="282">
        <f t="shared" si="130"/>
        <v>1.2964689832756962E-3</v>
      </c>
      <c r="U215" s="282">
        <f t="shared" si="130"/>
        <v>-1.1795707720056528E-3</v>
      </c>
      <c r="V215" s="282">
        <f t="shared" si="130"/>
        <v>-1.1215590946938995E-3</v>
      </c>
      <c r="W215" s="282">
        <f t="shared" si="130"/>
        <v>-1.1795707720056528E-3</v>
      </c>
      <c r="X215" s="282">
        <f t="shared" si="130"/>
        <v>-1.1795707720056528E-3</v>
      </c>
      <c r="Y215" s="282">
        <f t="shared" si="130"/>
        <v>-1.1215590946938995E-3</v>
      </c>
      <c r="Z215" s="282">
        <f t="shared" si="130"/>
        <v>-1.1215590946938995E-3</v>
      </c>
      <c r="AA215" s="282">
        <f t="shared" si="130"/>
        <v>-9.4557123805885939E-4</v>
      </c>
      <c r="AB215" s="282">
        <f t="shared" si="130"/>
        <v>-9.4557123805885939E-4</v>
      </c>
      <c r="AC215" s="271"/>
      <c r="AD215" s="271"/>
    </row>
    <row r="216" spans="3:30" x14ac:dyDescent="0.25">
      <c r="E216" s="32"/>
      <c r="F216" s="191" t="s">
        <v>195</v>
      </c>
      <c r="G216" t="s">
        <v>268</v>
      </c>
      <c r="H216" s="271"/>
      <c r="I216" s="271"/>
      <c r="J216" s="282">
        <f t="shared" ref="J216:AB216" si="132">hundred * $H24 * J61 / $H49 * J111 * (1 - J73) / hours_in_year</f>
        <v>0</v>
      </c>
      <c r="K216" s="282">
        <f t="shared" si="132"/>
        <v>0</v>
      </c>
      <c r="L216" s="282">
        <f t="shared" si="132"/>
        <v>0</v>
      </c>
      <c r="M216" s="282">
        <f t="shared" si="132"/>
        <v>0</v>
      </c>
      <c r="N216" s="282">
        <f t="shared" si="132"/>
        <v>0</v>
      </c>
      <c r="O216" s="282">
        <f t="shared" si="132"/>
        <v>0</v>
      </c>
      <c r="P216" s="282">
        <f t="shared" si="132"/>
        <v>0</v>
      </c>
      <c r="Q216" s="282">
        <f t="shared" ref="Q216:S216" si="133">hundred * $H24 * Q61 / $H49 * Q111 * (1 - Q73) / hours_in_year</f>
        <v>0</v>
      </c>
      <c r="R216" s="282">
        <f t="shared" si="133"/>
        <v>0</v>
      </c>
      <c r="S216" s="282">
        <f t="shared" si="133"/>
        <v>0</v>
      </c>
      <c r="T216" s="282">
        <f t="shared" si="132"/>
        <v>0</v>
      </c>
      <c r="U216" s="282">
        <f t="shared" si="132"/>
        <v>0</v>
      </c>
      <c r="V216" s="282">
        <f t="shared" si="132"/>
        <v>0</v>
      </c>
      <c r="W216" s="282">
        <f t="shared" si="132"/>
        <v>0</v>
      </c>
      <c r="X216" s="282">
        <f t="shared" si="132"/>
        <v>0</v>
      </c>
      <c r="Y216" s="282">
        <f t="shared" si="132"/>
        <v>0</v>
      </c>
      <c r="Z216" s="282">
        <f t="shared" si="132"/>
        <v>0</v>
      </c>
      <c r="AA216" s="282">
        <f t="shared" si="132"/>
        <v>0</v>
      </c>
      <c r="AB216" s="282">
        <f t="shared" si="132"/>
        <v>0</v>
      </c>
      <c r="AC216" s="271"/>
      <c r="AD216" s="271"/>
    </row>
    <row r="217" spans="3:30" x14ac:dyDescent="0.25">
      <c r="E217" s="32"/>
      <c r="F217" s="191" t="s">
        <v>196</v>
      </c>
      <c r="G217" t="s">
        <v>268</v>
      </c>
      <c r="H217" s="271"/>
      <c r="I217" s="271"/>
      <c r="J217" s="282">
        <f t="shared" ref="J217:AB217" si="134">hundred * $H25 * J62 / $H50 * J112 * (1 - J74) / hours_in_year</f>
        <v>5.6723556339629807E-3</v>
      </c>
      <c r="K217" s="282">
        <f t="shared" si="134"/>
        <v>5.6723556339629807E-3</v>
      </c>
      <c r="L217" s="282">
        <f t="shared" si="134"/>
        <v>6.5884697768449135E-3</v>
      </c>
      <c r="M217" s="282">
        <f t="shared" si="134"/>
        <v>6.5884697768449135E-3</v>
      </c>
      <c r="N217" s="282">
        <f t="shared" si="134"/>
        <v>5.093067014110832E-3</v>
      </c>
      <c r="O217" s="282">
        <f t="shared" si="134"/>
        <v>4.142387143733748E-3</v>
      </c>
      <c r="P217" s="282">
        <f t="shared" si="134"/>
        <v>2.8355357920827429E-3</v>
      </c>
      <c r="Q217" s="282">
        <f t="shared" ref="Q217:S217" si="135">hundred * $H25 * Q62 / $H50 * Q112 * (1 - Q74) / hours_in_year</f>
        <v>5.093067014110832E-3</v>
      </c>
      <c r="R217" s="282">
        <f t="shared" si="135"/>
        <v>4.142387143733748E-3</v>
      </c>
      <c r="S217" s="282">
        <f t="shared" si="135"/>
        <v>2.8355357920827429E-3</v>
      </c>
      <c r="T217" s="282">
        <f t="shared" si="134"/>
        <v>4.4583203345226413E-3</v>
      </c>
      <c r="U217" s="282">
        <f t="shared" si="134"/>
        <v>-4.0563287102743269E-3</v>
      </c>
      <c r="V217" s="282">
        <f t="shared" si="134"/>
        <v>-3.8568371343591953E-3</v>
      </c>
      <c r="W217" s="282">
        <f t="shared" si="134"/>
        <v>-4.0563287102743269E-3</v>
      </c>
      <c r="X217" s="282">
        <f t="shared" si="134"/>
        <v>-4.0563287102743269E-3</v>
      </c>
      <c r="Y217" s="282">
        <f t="shared" si="134"/>
        <v>-3.8568371343591953E-3</v>
      </c>
      <c r="Z217" s="282">
        <f t="shared" si="134"/>
        <v>-3.8568371343591953E-3</v>
      </c>
      <c r="AA217" s="282">
        <f t="shared" si="134"/>
        <v>0</v>
      </c>
      <c r="AB217" s="282">
        <f t="shared" si="134"/>
        <v>0</v>
      </c>
      <c r="AC217" s="271"/>
      <c r="AD217" s="271"/>
    </row>
    <row r="218" spans="3:30" x14ac:dyDescent="0.25">
      <c r="E218" s="32"/>
      <c r="F218" s="191" t="s">
        <v>197</v>
      </c>
      <c r="G218" t="s">
        <v>268</v>
      </c>
      <c r="H218" s="271"/>
      <c r="I218" s="271"/>
      <c r="J218" s="282">
        <f t="shared" ref="J218:AB218" si="136">hundred * $H26 * J63 / $H51 * J113 * (1 - J75) / hours_in_year</f>
        <v>1.3025042971959073E-3</v>
      </c>
      <c r="K218" s="282">
        <f t="shared" si="136"/>
        <v>1.3025042971959073E-3</v>
      </c>
      <c r="L218" s="282">
        <f t="shared" si="136"/>
        <v>1.5128653332143784E-3</v>
      </c>
      <c r="M218" s="282">
        <f t="shared" si="136"/>
        <v>1.5128653332143784E-3</v>
      </c>
      <c r="N218" s="282">
        <f t="shared" si="136"/>
        <v>1.1694862064125261E-3</v>
      </c>
      <c r="O218" s="282">
        <f t="shared" si="136"/>
        <v>9.5118807838089449E-4</v>
      </c>
      <c r="P218" s="282">
        <f t="shared" si="136"/>
        <v>0</v>
      </c>
      <c r="Q218" s="282">
        <f t="shared" ref="Q218:S218" si="137">hundred * $H26 * Q63 / $H51 * Q113 * (1 - Q75) / hours_in_year</f>
        <v>1.1694862064125261E-3</v>
      </c>
      <c r="R218" s="282">
        <f t="shared" si="137"/>
        <v>9.5118807838089449E-4</v>
      </c>
      <c r="S218" s="282">
        <f t="shared" si="137"/>
        <v>0</v>
      </c>
      <c r="T218" s="282">
        <f t="shared" si="136"/>
        <v>1.0237336600023082E-3</v>
      </c>
      <c r="U218" s="282">
        <f t="shared" si="136"/>
        <v>-9.3142706785473818E-4</v>
      </c>
      <c r="V218" s="282">
        <f t="shared" si="136"/>
        <v>0</v>
      </c>
      <c r="W218" s="282">
        <f t="shared" si="136"/>
        <v>-9.3142706785473818E-4</v>
      </c>
      <c r="X218" s="282">
        <f t="shared" si="136"/>
        <v>-9.3142706785473818E-4</v>
      </c>
      <c r="Y218" s="282">
        <f t="shared" si="136"/>
        <v>0</v>
      </c>
      <c r="Z218" s="282">
        <f t="shared" si="136"/>
        <v>0</v>
      </c>
      <c r="AA218" s="282">
        <f t="shared" si="136"/>
        <v>0</v>
      </c>
      <c r="AB218" s="282">
        <f t="shared" si="136"/>
        <v>0</v>
      </c>
      <c r="AC218" s="271"/>
      <c r="AD218" s="271"/>
    </row>
    <row r="219" spans="3:30" x14ac:dyDescent="0.25">
      <c r="E219" s="32"/>
      <c r="F219" s="192" t="s">
        <v>198</v>
      </c>
      <c r="G219" s="37" t="s">
        <v>268</v>
      </c>
      <c r="H219" s="275"/>
      <c r="I219" s="275"/>
      <c r="J219" s="283">
        <f t="shared" ref="J219:AB219" si="138">hundred * $H27 * J64 / $H52 * J114 * (1 - J76) / hours_in_year</f>
        <v>2.2883722751945547E-4</v>
      </c>
      <c r="K219" s="283">
        <f t="shared" si="138"/>
        <v>2.2883722751945547E-4</v>
      </c>
      <c r="L219" s="283">
        <f t="shared" si="138"/>
        <v>2.6579559791732816E-4</v>
      </c>
      <c r="M219" s="283">
        <f t="shared" si="138"/>
        <v>2.6579559791732816E-4</v>
      </c>
      <c r="N219" s="283">
        <f t="shared" si="138"/>
        <v>2.0546725386920976E-4</v>
      </c>
      <c r="O219" s="283">
        <f t="shared" si="138"/>
        <v>0</v>
      </c>
      <c r="P219" s="283">
        <f t="shared" si="138"/>
        <v>0</v>
      </c>
      <c r="Q219" s="283">
        <f t="shared" ref="Q219:S219" si="139">hundred * $H27 * Q64 / $H52 * Q114 * (1 - Q76) / hours_in_year</f>
        <v>2.0546725386920976E-4</v>
      </c>
      <c r="R219" s="283">
        <f t="shared" si="139"/>
        <v>0</v>
      </c>
      <c r="S219" s="283">
        <f t="shared" si="139"/>
        <v>0</v>
      </c>
      <c r="T219" s="283">
        <f t="shared" si="138"/>
        <v>1.7985996128966103E-4</v>
      </c>
      <c r="U219" s="283">
        <f t="shared" si="138"/>
        <v>0</v>
      </c>
      <c r="V219" s="283">
        <f t="shared" si="138"/>
        <v>0</v>
      </c>
      <c r="W219" s="283">
        <f t="shared" si="138"/>
        <v>0</v>
      </c>
      <c r="X219" s="283">
        <f t="shared" si="138"/>
        <v>0</v>
      </c>
      <c r="Y219" s="283">
        <f t="shared" si="138"/>
        <v>0</v>
      </c>
      <c r="Z219" s="283">
        <f t="shared" si="138"/>
        <v>0</v>
      </c>
      <c r="AA219" s="283">
        <f t="shared" si="138"/>
        <v>0</v>
      </c>
      <c r="AB219" s="283">
        <f t="shared" si="138"/>
        <v>0</v>
      </c>
      <c r="AC219" s="271"/>
      <c r="AD219" s="271"/>
    </row>
    <row r="220" spans="3:30" x14ac:dyDescent="0.25">
      <c r="E220" s="32"/>
      <c r="F220" s="191"/>
      <c r="J220" s="163"/>
      <c r="K220" s="163"/>
      <c r="L220" s="163"/>
      <c r="M220" s="163"/>
      <c r="N220" s="163"/>
      <c r="O220" s="163"/>
      <c r="P220" s="163"/>
      <c r="Q220" s="163"/>
      <c r="R220" s="163"/>
      <c r="S220" s="163"/>
      <c r="T220" s="163"/>
      <c r="U220" s="163"/>
      <c r="V220" s="163"/>
      <c r="W220" s="163"/>
      <c r="X220" s="163"/>
      <c r="Y220" s="163"/>
      <c r="Z220" s="163"/>
      <c r="AA220" s="163"/>
      <c r="AB220" s="163"/>
    </row>
    <row r="221" spans="3:30" x14ac:dyDescent="0.25">
      <c r="E221" s="32" t="s">
        <v>621</v>
      </c>
      <c r="J221" s="163"/>
      <c r="K221" s="163"/>
      <c r="L221" s="163"/>
      <c r="M221" s="163"/>
      <c r="N221" s="163"/>
      <c r="O221" s="163"/>
      <c r="P221" s="163"/>
      <c r="Q221" s="163"/>
      <c r="R221" s="163"/>
      <c r="S221" s="163"/>
      <c r="T221" s="163"/>
      <c r="U221" s="163"/>
      <c r="V221" s="163"/>
      <c r="W221" s="163"/>
      <c r="X221" s="163"/>
      <c r="Y221" s="163"/>
      <c r="Z221" s="163"/>
      <c r="AA221" s="163"/>
      <c r="AB221" s="163"/>
    </row>
    <row r="222" spans="3:30" x14ac:dyDescent="0.25">
      <c r="C222" s="32"/>
      <c r="E222" s="32"/>
      <c r="F222" s="190" t="s">
        <v>188</v>
      </c>
      <c r="G222" s="23" t="s">
        <v>268</v>
      </c>
      <c r="H222" s="269"/>
      <c r="I222" s="269"/>
      <c r="J222" s="281">
        <f t="shared" ref="J222:AB222" si="140">hundred * $H30 * J55 / $H43 * J105 / hours_in_year</f>
        <v>2.4082353729925929E-3</v>
      </c>
      <c r="K222" s="281">
        <f t="shared" si="140"/>
        <v>2.4082353729925929E-3</v>
      </c>
      <c r="L222" s="281">
        <f t="shared" si="140"/>
        <v>2.7971775738971738E-3</v>
      </c>
      <c r="M222" s="281">
        <f t="shared" si="140"/>
        <v>2.7971775738971738E-3</v>
      </c>
      <c r="N222" s="281">
        <f t="shared" si="140"/>
        <v>2.162294632403776E-3</v>
      </c>
      <c r="O222" s="281">
        <f t="shared" si="140"/>
        <v>1.7586773277118667E-3</v>
      </c>
      <c r="P222" s="281">
        <f t="shared" si="140"/>
        <v>1.7542994173707232E-3</v>
      </c>
      <c r="Q222" s="281">
        <f t="shared" ref="Q222:S222" si="141">hundred * $H30 * Q55 / $H43 * Q105 / hours_in_year</f>
        <v>2.162294632403776E-3</v>
      </c>
      <c r="R222" s="281">
        <f t="shared" si="141"/>
        <v>1.7586773277118667E-3</v>
      </c>
      <c r="S222" s="281">
        <f t="shared" si="141"/>
        <v>1.7542994173707232E-3</v>
      </c>
      <c r="T222" s="281">
        <f t="shared" si="140"/>
        <v>1.8928088128755832E-3</v>
      </c>
      <c r="U222" s="281">
        <f t="shared" si="140"/>
        <v>-1.7221406616466405E-3</v>
      </c>
      <c r="V222" s="281">
        <f t="shared" si="140"/>
        <v>-1.637445219270576E-3</v>
      </c>
      <c r="W222" s="281">
        <f t="shared" si="140"/>
        <v>-1.7221406616466405E-3</v>
      </c>
      <c r="X222" s="281">
        <f t="shared" si="140"/>
        <v>-1.7221406616466405E-3</v>
      </c>
      <c r="Y222" s="281">
        <f t="shared" si="140"/>
        <v>-1.637445219270576E-3</v>
      </c>
      <c r="Z222" s="281">
        <f t="shared" si="140"/>
        <v>-1.637445219270576E-3</v>
      </c>
      <c r="AA222" s="281">
        <f t="shared" si="140"/>
        <v>-1.6092134051452214E-3</v>
      </c>
      <c r="AB222" s="281">
        <f t="shared" si="140"/>
        <v>-1.6092134051452214E-3</v>
      </c>
      <c r="AC222" s="271"/>
      <c r="AD222" s="271"/>
    </row>
    <row r="223" spans="3:30" x14ac:dyDescent="0.25">
      <c r="C223" s="32"/>
      <c r="E223" s="32"/>
      <c r="F223" s="191" t="s">
        <v>190</v>
      </c>
      <c r="G223" t="s">
        <v>268</v>
      </c>
      <c r="H223" s="271"/>
      <c r="I223" s="271"/>
      <c r="J223" s="282">
        <f t="shared" ref="J223:AB223" si="142">hundred * $H31 * J56 / $H44 * J106 / hours_in_year</f>
        <v>0</v>
      </c>
      <c r="K223" s="282">
        <f t="shared" si="142"/>
        <v>0</v>
      </c>
      <c r="L223" s="282">
        <f t="shared" si="142"/>
        <v>0</v>
      </c>
      <c r="M223" s="282">
        <f t="shared" si="142"/>
        <v>0</v>
      </c>
      <c r="N223" s="282">
        <f t="shared" si="142"/>
        <v>0</v>
      </c>
      <c r="O223" s="282">
        <f t="shared" si="142"/>
        <v>0</v>
      </c>
      <c r="P223" s="282">
        <f t="shared" si="142"/>
        <v>0</v>
      </c>
      <c r="Q223" s="282">
        <f t="shared" ref="Q223:S223" si="143">hundred * $H31 * Q56 / $H44 * Q106 / hours_in_year</f>
        <v>0</v>
      </c>
      <c r="R223" s="282">
        <f t="shared" si="143"/>
        <v>0</v>
      </c>
      <c r="S223" s="282">
        <f t="shared" si="143"/>
        <v>0</v>
      </c>
      <c r="T223" s="282">
        <f t="shared" si="142"/>
        <v>0</v>
      </c>
      <c r="U223" s="282">
        <f t="shared" si="142"/>
        <v>0</v>
      </c>
      <c r="V223" s="282">
        <f t="shared" si="142"/>
        <v>0</v>
      </c>
      <c r="W223" s="282">
        <f t="shared" si="142"/>
        <v>0</v>
      </c>
      <c r="X223" s="282">
        <f t="shared" si="142"/>
        <v>0</v>
      </c>
      <c r="Y223" s="282">
        <f t="shared" si="142"/>
        <v>0</v>
      </c>
      <c r="Z223" s="282">
        <f t="shared" si="142"/>
        <v>0</v>
      </c>
      <c r="AA223" s="282">
        <f t="shared" si="142"/>
        <v>0</v>
      </c>
      <c r="AB223" s="282">
        <f t="shared" si="142"/>
        <v>0</v>
      </c>
      <c r="AC223" s="271"/>
      <c r="AD223" s="271"/>
    </row>
    <row r="224" spans="3:30" x14ac:dyDescent="0.25">
      <c r="C224" s="32"/>
      <c r="E224" s="32"/>
      <c r="F224" s="191" t="s">
        <v>191</v>
      </c>
      <c r="G224" t="s">
        <v>268</v>
      </c>
      <c r="H224" s="271"/>
      <c r="I224" s="271"/>
      <c r="J224" s="282">
        <f t="shared" ref="J224:AB224" si="144">hundred * $H32 * J57 / $H45 * J107 / hours_in_year</f>
        <v>0</v>
      </c>
      <c r="K224" s="282">
        <f t="shared" si="144"/>
        <v>0</v>
      </c>
      <c r="L224" s="282">
        <f t="shared" si="144"/>
        <v>0</v>
      </c>
      <c r="M224" s="282">
        <f t="shared" si="144"/>
        <v>0</v>
      </c>
      <c r="N224" s="282">
        <f t="shared" si="144"/>
        <v>0</v>
      </c>
      <c r="O224" s="282">
        <f t="shared" si="144"/>
        <v>0</v>
      </c>
      <c r="P224" s="282">
        <f t="shared" si="144"/>
        <v>0</v>
      </c>
      <c r="Q224" s="282">
        <f t="shared" ref="Q224:S224" si="145">hundred * $H32 * Q57 / $H45 * Q107 / hours_in_year</f>
        <v>0</v>
      </c>
      <c r="R224" s="282">
        <f t="shared" si="145"/>
        <v>0</v>
      </c>
      <c r="S224" s="282">
        <f t="shared" si="145"/>
        <v>0</v>
      </c>
      <c r="T224" s="282">
        <f t="shared" si="144"/>
        <v>0</v>
      </c>
      <c r="U224" s="282">
        <f t="shared" si="144"/>
        <v>0</v>
      </c>
      <c r="V224" s="282">
        <f t="shared" si="144"/>
        <v>0</v>
      </c>
      <c r="W224" s="282">
        <f t="shared" si="144"/>
        <v>0</v>
      </c>
      <c r="X224" s="282">
        <f t="shared" si="144"/>
        <v>0</v>
      </c>
      <c r="Y224" s="282">
        <f t="shared" si="144"/>
        <v>0</v>
      </c>
      <c r="Z224" s="282">
        <f t="shared" si="144"/>
        <v>0</v>
      </c>
      <c r="AA224" s="282">
        <f t="shared" si="144"/>
        <v>0</v>
      </c>
      <c r="AB224" s="282">
        <f t="shared" si="144"/>
        <v>0</v>
      </c>
      <c r="AC224" s="271"/>
      <c r="AD224" s="271"/>
    </row>
    <row r="225" spans="2:30" x14ac:dyDescent="0.25">
      <c r="C225" s="32"/>
      <c r="E225" s="32"/>
      <c r="F225" s="191" t="s">
        <v>192</v>
      </c>
      <c r="G225" t="s">
        <v>268</v>
      </c>
      <c r="H225" s="271"/>
      <c r="I225" s="271"/>
      <c r="J225" s="282">
        <f t="shared" ref="J225:AB225" si="146">hundred * $H33 * J58 / $H46 * J108 / hours_in_year</f>
        <v>0</v>
      </c>
      <c r="K225" s="282">
        <f t="shared" si="146"/>
        <v>0</v>
      </c>
      <c r="L225" s="282">
        <f t="shared" si="146"/>
        <v>0</v>
      </c>
      <c r="M225" s="282">
        <f t="shared" si="146"/>
        <v>0</v>
      </c>
      <c r="N225" s="282">
        <f t="shared" si="146"/>
        <v>0</v>
      </c>
      <c r="O225" s="282">
        <f t="shared" si="146"/>
        <v>0</v>
      </c>
      <c r="P225" s="282">
        <f t="shared" si="146"/>
        <v>0</v>
      </c>
      <c r="Q225" s="282">
        <f t="shared" ref="Q225:S225" si="147">hundred * $H33 * Q58 / $H46 * Q108 / hours_in_year</f>
        <v>0</v>
      </c>
      <c r="R225" s="282">
        <f t="shared" si="147"/>
        <v>0</v>
      </c>
      <c r="S225" s="282">
        <f t="shared" si="147"/>
        <v>0</v>
      </c>
      <c r="T225" s="282">
        <f t="shared" si="146"/>
        <v>0</v>
      </c>
      <c r="U225" s="282">
        <f t="shared" si="146"/>
        <v>0</v>
      </c>
      <c r="V225" s="282">
        <f t="shared" si="146"/>
        <v>0</v>
      </c>
      <c r="W225" s="282">
        <f t="shared" si="146"/>
        <v>0</v>
      </c>
      <c r="X225" s="282">
        <f t="shared" si="146"/>
        <v>0</v>
      </c>
      <c r="Y225" s="282">
        <f t="shared" si="146"/>
        <v>0</v>
      </c>
      <c r="Z225" s="282">
        <f t="shared" si="146"/>
        <v>0</v>
      </c>
      <c r="AA225" s="282">
        <f t="shared" si="146"/>
        <v>0</v>
      </c>
      <c r="AB225" s="282">
        <f t="shared" si="146"/>
        <v>0</v>
      </c>
      <c r="AC225" s="271"/>
      <c r="AD225" s="271"/>
    </row>
    <row r="226" spans="2:30" x14ac:dyDescent="0.25">
      <c r="C226" s="32"/>
      <c r="E226" s="32"/>
      <c r="F226" s="191" t="s">
        <v>193</v>
      </c>
      <c r="G226" t="s">
        <v>268</v>
      </c>
      <c r="H226" s="271"/>
      <c r="I226" s="271"/>
      <c r="J226" s="282">
        <f t="shared" ref="J226:AB226" si="148">hundred * $H34 * J59 / $H47 * J109 / hours_in_year</f>
        <v>1.7045036833946514E-3</v>
      </c>
      <c r="K226" s="282">
        <f t="shared" si="148"/>
        <v>1.7045036833946514E-3</v>
      </c>
      <c r="L226" s="282">
        <f t="shared" si="148"/>
        <v>1.979789654817645E-3</v>
      </c>
      <c r="M226" s="282">
        <f t="shared" si="148"/>
        <v>1.979789654817645E-3</v>
      </c>
      <c r="N226" s="282">
        <f t="shared" si="148"/>
        <v>1.5304314548526714E-3</v>
      </c>
      <c r="O226" s="282">
        <f t="shared" si="148"/>
        <v>1.2447587210973002E-3</v>
      </c>
      <c r="P226" s="282">
        <f t="shared" si="148"/>
        <v>1.2416601185330591E-3</v>
      </c>
      <c r="Q226" s="282">
        <f t="shared" ref="Q226:S226" si="149">hundred * $H34 * Q59 / $H47 * Q109 / hours_in_year</f>
        <v>1.5304314548526714E-3</v>
      </c>
      <c r="R226" s="282">
        <f t="shared" si="149"/>
        <v>1.2447587210973002E-3</v>
      </c>
      <c r="S226" s="282">
        <f t="shared" si="149"/>
        <v>1.2416601185330591E-3</v>
      </c>
      <c r="T226" s="282">
        <f t="shared" si="148"/>
        <v>1.3396944624640774E-3</v>
      </c>
      <c r="U226" s="282">
        <f t="shared" si="148"/>
        <v>-1.218898756334076E-3</v>
      </c>
      <c r="V226" s="282">
        <f t="shared" si="148"/>
        <v>-1.1589529158586296E-3</v>
      </c>
      <c r="W226" s="282">
        <f t="shared" si="148"/>
        <v>-1.218898756334076E-3</v>
      </c>
      <c r="X226" s="282">
        <f t="shared" si="148"/>
        <v>-1.218898756334076E-3</v>
      </c>
      <c r="Y226" s="282">
        <f t="shared" si="148"/>
        <v>-1.1589529158586296E-3</v>
      </c>
      <c r="Z226" s="282">
        <f t="shared" si="148"/>
        <v>-1.1589529158586296E-3</v>
      </c>
      <c r="AA226" s="282">
        <f t="shared" si="148"/>
        <v>-1.1389709690334806E-3</v>
      </c>
      <c r="AB226" s="282">
        <f t="shared" si="148"/>
        <v>-1.1389709690334806E-3</v>
      </c>
      <c r="AC226" s="271"/>
      <c r="AD226" s="271"/>
    </row>
    <row r="227" spans="2:30" x14ac:dyDescent="0.25">
      <c r="C227" s="32"/>
      <c r="E227" s="32"/>
      <c r="F227" s="191" t="s">
        <v>194</v>
      </c>
      <c r="G227" t="s">
        <v>268</v>
      </c>
      <c r="H227" s="271"/>
      <c r="I227" s="271"/>
      <c r="J227" s="282">
        <f t="shared" ref="J227:AB227" si="150">hundred * $H35 * J60 / $H48 * J110 / hours_in_year</f>
        <v>1.2190576574004099E-3</v>
      </c>
      <c r="K227" s="282">
        <f t="shared" si="150"/>
        <v>1.2190576574004099E-3</v>
      </c>
      <c r="L227" s="282">
        <f t="shared" si="150"/>
        <v>1.4159416387654474E-3</v>
      </c>
      <c r="M227" s="282">
        <f t="shared" si="150"/>
        <v>1.4159416387654474E-3</v>
      </c>
      <c r="N227" s="282">
        <f t="shared" si="150"/>
        <v>1.0945615444191612E-3</v>
      </c>
      <c r="O227" s="282">
        <f t="shared" si="150"/>
        <v>8.9024897121226508E-4</v>
      </c>
      <c r="P227" s="282">
        <f t="shared" si="150"/>
        <v>8.8803285679727264E-4</v>
      </c>
      <c r="Q227" s="282">
        <f t="shared" ref="Q227:S227" si="151">hundred * $H35 * Q60 / $H48 * Q110 / hours_in_year</f>
        <v>1.0945615444191612E-3</v>
      </c>
      <c r="R227" s="282">
        <f t="shared" si="151"/>
        <v>8.9024897121226508E-4</v>
      </c>
      <c r="S227" s="282">
        <f t="shared" si="151"/>
        <v>8.8803285679727264E-4</v>
      </c>
      <c r="T227" s="282">
        <f t="shared" si="150"/>
        <v>9.5814682535105193E-4</v>
      </c>
      <c r="U227" s="282">
        <f t="shared" si="150"/>
        <v>-8.7175397564738066E-4</v>
      </c>
      <c r="V227" s="282">
        <f t="shared" si="150"/>
        <v>-8.2888082930406676E-4</v>
      </c>
      <c r="W227" s="282">
        <f t="shared" si="150"/>
        <v>-8.7175397564738066E-4</v>
      </c>
      <c r="X227" s="282">
        <f t="shared" si="150"/>
        <v>-8.7175397564738066E-4</v>
      </c>
      <c r="Y227" s="282">
        <f t="shared" si="150"/>
        <v>-8.2888082930406676E-4</v>
      </c>
      <c r="Z227" s="282">
        <f t="shared" si="150"/>
        <v>-8.2888082930406676E-4</v>
      </c>
      <c r="AA227" s="282">
        <f t="shared" si="150"/>
        <v>-8.1458978052296213E-4</v>
      </c>
      <c r="AB227" s="282">
        <f t="shared" si="150"/>
        <v>-8.1458978052296213E-4</v>
      </c>
      <c r="AC227" s="271"/>
      <c r="AD227" s="271"/>
    </row>
    <row r="228" spans="2:30" x14ac:dyDescent="0.25">
      <c r="C228" s="32"/>
      <c r="E228" s="32"/>
      <c r="F228" s="191" t="s">
        <v>195</v>
      </c>
      <c r="G228" t="s">
        <v>268</v>
      </c>
      <c r="H228" s="271"/>
      <c r="I228" s="271"/>
      <c r="J228" s="282">
        <f t="shared" ref="J228:AB228" si="152">hundred * $H36 * J61 / $H49 * J111 / hours_in_year</f>
        <v>0</v>
      </c>
      <c r="K228" s="282">
        <f t="shared" si="152"/>
        <v>0</v>
      </c>
      <c r="L228" s="282">
        <f t="shared" si="152"/>
        <v>0</v>
      </c>
      <c r="M228" s="282">
        <f t="shared" si="152"/>
        <v>0</v>
      </c>
      <c r="N228" s="282">
        <f t="shared" si="152"/>
        <v>0</v>
      </c>
      <c r="O228" s="282">
        <f t="shared" si="152"/>
        <v>0</v>
      </c>
      <c r="P228" s="282">
        <f t="shared" si="152"/>
        <v>0</v>
      </c>
      <c r="Q228" s="282">
        <f t="shared" ref="Q228:S228" si="153">hundred * $H36 * Q61 / $H49 * Q111 / hours_in_year</f>
        <v>0</v>
      </c>
      <c r="R228" s="282">
        <f t="shared" si="153"/>
        <v>0</v>
      </c>
      <c r="S228" s="282">
        <f t="shared" si="153"/>
        <v>0</v>
      </c>
      <c r="T228" s="282">
        <f t="shared" si="152"/>
        <v>0</v>
      </c>
      <c r="U228" s="282">
        <f t="shared" si="152"/>
        <v>0</v>
      </c>
      <c r="V228" s="282">
        <f t="shared" si="152"/>
        <v>0</v>
      </c>
      <c r="W228" s="282">
        <f t="shared" si="152"/>
        <v>0</v>
      </c>
      <c r="X228" s="282">
        <f t="shared" si="152"/>
        <v>0</v>
      </c>
      <c r="Y228" s="282">
        <f t="shared" si="152"/>
        <v>0</v>
      </c>
      <c r="Z228" s="282">
        <f t="shared" si="152"/>
        <v>0</v>
      </c>
      <c r="AA228" s="282">
        <f t="shared" si="152"/>
        <v>0</v>
      </c>
      <c r="AB228" s="282">
        <f t="shared" si="152"/>
        <v>0</v>
      </c>
      <c r="AC228" s="271"/>
      <c r="AD228" s="271"/>
    </row>
    <row r="229" spans="2:30" x14ac:dyDescent="0.25">
      <c r="C229" s="32"/>
      <c r="E229" s="32"/>
      <c r="F229" s="191" t="s">
        <v>196</v>
      </c>
      <c r="G229" t="s">
        <v>268</v>
      </c>
      <c r="H229" s="271"/>
      <c r="I229" s="271"/>
      <c r="J229" s="282">
        <f t="shared" ref="J229:AB229" si="154">hundred * $H37 * J62 / $H50 * J112 / hours_in_year</f>
        <v>5.2444201935189071E-3</v>
      </c>
      <c r="K229" s="282">
        <f t="shared" si="154"/>
        <v>5.2444201935189071E-3</v>
      </c>
      <c r="L229" s="282">
        <f t="shared" si="154"/>
        <v>6.0914205969723884E-3</v>
      </c>
      <c r="M229" s="282">
        <f t="shared" si="154"/>
        <v>6.0914205969723884E-3</v>
      </c>
      <c r="N229" s="282">
        <f t="shared" si="154"/>
        <v>4.7088344277678631E-3</v>
      </c>
      <c r="O229" s="282">
        <f t="shared" si="154"/>
        <v>3.8298760141018623E-3</v>
      </c>
      <c r="P229" s="282">
        <f t="shared" si="154"/>
        <v>3.8203422278050604E-3</v>
      </c>
      <c r="Q229" s="282">
        <f t="shared" ref="Q229:S229" si="155">hundred * $H37 * Q62 / $H50 * Q112 / hours_in_year</f>
        <v>4.7088344277678631E-3</v>
      </c>
      <c r="R229" s="282">
        <f t="shared" si="155"/>
        <v>3.8298760141018623E-3</v>
      </c>
      <c r="S229" s="282">
        <f t="shared" si="155"/>
        <v>3.8203422278050604E-3</v>
      </c>
      <c r="T229" s="282">
        <f t="shared" si="154"/>
        <v>4.1219744847364589E-3</v>
      </c>
      <c r="U229" s="282">
        <f t="shared" si="154"/>
        <v>-3.750310025052286E-3</v>
      </c>
      <c r="V229" s="282">
        <f t="shared" si="154"/>
        <v>-3.5658685484103703E-3</v>
      </c>
      <c r="W229" s="282">
        <f t="shared" si="154"/>
        <v>-3.750310025052286E-3</v>
      </c>
      <c r="X229" s="282">
        <f t="shared" si="154"/>
        <v>-3.750310025052286E-3</v>
      </c>
      <c r="Y229" s="282">
        <f t="shared" si="154"/>
        <v>-3.5658685484103703E-3</v>
      </c>
      <c r="Z229" s="282">
        <f t="shared" si="154"/>
        <v>-3.5658685484103703E-3</v>
      </c>
      <c r="AA229" s="282">
        <f t="shared" si="154"/>
        <v>0</v>
      </c>
      <c r="AB229" s="282">
        <f t="shared" si="154"/>
        <v>0</v>
      </c>
      <c r="AC229" s="271"/>
      <c r="AD229" s="271"/>
    </row>
    <row r="230" spans="2:30" x14ac:dyDescent="0.25">
      <c r="C230" s="32"/>
      <c r="E230" s="32"/>
      <c r="F230" s="191" t="s">
        <v>197</v>
      </c>
      <c r="G230" t="s">
        <v>268</v>
      </c>
      <c r="H230" s="271"/>
      <c r="I230" s="271"/>
      <c r="J230" s="282">
        <f t="shared" ref="J230:AB230" si="156">hundred * $H38 * J63 / $H51 * J113 / hours_in_year</f>
        <v>1.3180712926202751E-3</v>
      </c>
      <c r="K230" s="282">
        <f t="shared" si="156"/>
        <v>1.3180712926202751E-3</v>
      </c>
      <c r="L230" s="282">
        <f t="shared" si="156"/>
        <v>1.530946477184908E-3</v>
      </c>
      <c r="M230" s="282">
        <f t="shared" si="156"/>
        <v>1.530946477184908E-3</v>
      </c>
      <c r="N230" s="282">
        <f t="shared" si="156"/>
        <v>1.1834634243482202E-3</v>
      </c>
      <c r="O230" s="282">
        <f t="shared" si="156"/>
        <v>9.6255628691252568E-4</v>
      </c>
      <c r="P230" s="282">
        <f t="shared" si="156"/>
        <v>0</v>
      </c>
      <c r="Q230" s="282">
        <f t="shared" ref="Q230:S230" si="157">hundred * $H38 * Q63 / $H51 * Q113 / hours_in_year</f>
        <v>1.1834634243482202E-3</v>
      </c>
      <c r="R230" s="282">
        <f t="shared" si="157"/>
        <v>9.6255628691252568E-4</v>
      </c>
      <c r="S230" s="282">
        <f t="shared" si="157"/>
        <v>0</v>
      </c>
      <c r="T230" s="282">
        <f t="shared" si="156"/>
        <v>1.0359689034754667E-3</v>
      </c>
      <c r="U230" s="282">
        <f t="shared" si="156"/>
        <v>-9.4255910091953666E-4</v>
      </c>
      <c r="V230" s="282">
        <f t="shared" si="156"/>
        <v>0</v>
      </c>
      <c r="W230" s="282">
        <f t="shared" si="156"/>
        <v>-9.4255910091953666E-4</v>
      </c>
      <c r="X230" s="282">
        <f t="shared" si="156"/>
        <v>-9.4255910091953666E-4</v>
      </c>
      <c r="Y230" s="282">
        <f t="shared" si="156"/>
        <v>0</v>
      </c>
      <c r="Z230" s="282">
        <f t="shared" si="156"/>
        <v>0</v>
      </c>
      <c r="AA230" s="282">
        <f t="shared" si="156"/>
        <v>0</v>
      </c>
      <c r="AB230" s="282">
        <f t="shared" si="156"/>
        <v>0</v>
      </c>
      <c r="AC230" s="271"/>
      <c r="AD230" s="271"/>
    </row>
    <row r="231" spans="2:30" x14ac:dyDescent="0.25">
      <c r="C231" s="32"/>
      <c r="E231" s="32"/>
      <c r="F231" s="192" t="s">
        <v>198</v>
      </c>
      <c r="G231" s="37" t="s">
        <v>268</v>
      </c>
      <c r="H231" s="275"/>
      <c r="I231" s="275"/>
      <c r="J231" s="283">
        <f t="shared" ref="J231:AB231" si="158">hundred * $H39 * J64 / $H52 * J114 / hours_in_year</f>
        <v>2.2170375862583351E-3</v>
      </c>
      <c r="K231" s="283">
        <f t="shared" si="158"/>
        <v>2.2170375862583351E-3</v>
      </c>
      <c r="L231" s="283">
        <f t="shared" si="158"/>
        <v>2.5751003769464232E-3</v>
      </c>
      <c r="M231" s="283">
        <f t="shared" si="158"/>
        <v>2.5751003769464232E-3</v>
      </c>
      <c r="N231" s="283">
        <f t="shared" si="158"/>
        <v>1.9906228960696218E-3</v>
      </c>
      <c r="O231" s="283">
        <f t="shared" si="158"/>
        <v>0</v>
      </c>
      <c r="P231" s="283">
        <f t="shared" si="158"/>
        <v>0</v>
      </c>
      <c r="Q231" s="283">
        <f t="shared" ref="Q231:S231" si="159">hundred * $H39 * Q64 / $H52 * Q114 / hours_in_year</f>
        <v>1.9906228960696218E-3</v>
      </c>
      <c r="R231" s="283">
        <f t="shared" si="159"/>
        <v>0</v>
      </c>
      <c r="S231" s="283">
        <f t="shared" si="159"/>
        <v>0</v>
      </c>
      <c r="T231" s="283">
        <f t="shared" si="158"/>
        <v>1.7425324487828188E-3</v>
      </c>
      <c r="U231" s="283">
        <f t="shared" si="158"/>
        <v>0</v>
      </c>
      <c r="V231" s="283">
        <f t="shared" si="158"/>
        <v>0</v>
      </c>
      <c r="W231" s="283">
        <f t="shared" si="158"/>
        <v>0</v>
      </c>
      <c r="X231" s="283">
        <f t="shared" si="158"/>
        <v>0</v>
      </c>
      <c r="Y231" s="283">
        <f t="shared" si="158"/>
        <v>0</v>
      </c>
      <c r="Z231" s="283">
        <f t="shared" si="158"/>
        <v>0</v>
      </c>
      <c r="AA231" s="283">
        <f t="shared" si="158"/>
        <v>0</v>
      </c>
      <c r="AB231" s="283">
        <f t="shared" si="158"/>
        <v>0</v>
      </c>
      <c r="AC231" s="271"/>
      <c r="AD231" s="271"/>
    </row>
    <row r="232" spans="2:30" x14ac:dyDescent="0.25">
      <c r="J232" s="14"/>
      <c r="K232" s="14"/>
      <c r="L232" s="14"/>
      <c r="M232" s="14"/>
      <c r="N232" s="14"/>
      <c r="O232" s="14"/>
      <c r="P232" s="14"/>
      <c r="Q232" s="14"/>
      <c r="R232" s="14"/>
      <c r="S232" s="14"/>
      <c r="T232" s="14"/>
      <c r="U232" s="14"/>
      <c r="V232" s="14"/>
      <c r="W232" s="14"/>
      <c r="X232" s="14"/>
      <c r="Y232" s="14"/>
      <c r="Z232" s="14"/>
      <c r="AA232" s="14"/>
      <c r="AB232" s="14"/>
    </row>
    <row r="233" spans="2:30" x14ac:dyDescent="0.25">
      <c r="B233" s="30" t="s">
        <v>230</v>
      </c>
      <c r="C233" s="30"/>
      <c r="D233" s="30"/>
      <c r="E233" s="30"/>
      <c r="F233" s="30"/>
      <c r="G233" s="30"/>
      <c r="H233" s="30"/>
      <c r="I233" s="30"/>
      <c r="J233" s="200"/>
      <c r="K233" s="200"/>
      <c r="L233" s="200"/>
      <c r="M233" s="200"/>
      <c r="N233" s="200"/>
      <c r="O233" s="200"/>
      <c r="P233" s="200"/>
      <c r="Q233" s="200"/>
      <c r="R233" s="200"/>
      <c r="S233" s="200"/>
      <c r="T233" s="200"/>
      <c r="U233" s="200"/>
      <c r="V233" s="200"/>
      <c r="W233" s="200"/>
      <c r="X233" s="200"/>
      <c r="Y233" s="200"/>
      <c r="Z233" s="200"/>
      <c r="AA233" s="200"/>
      <c r="AB233" s="200"/>
      <c r="AC233" s="30"/>
      <c r="AD233" s="30"/>
    </row>
    <row r="234" spans="2:30" x14ac:dyDescent="0.25">
      <c r="C234" s="32"/>
      <c r="D234" s="32"/>
      <c r="E234" s="32"/>
      <c r="J234" s="164"/>
      <c r="K234" s="14"/>
      <c r="L234" s="164"/>
      <c r="M234" s="14"/>
      <c r="N234" s="14"/>
      <c r="O234" s="14"/>
      <c r="P234" s="14"/>
      <c r="Q234" s="14"/>
      <c r="R234" s="14"/>
      <c r="S234" s="14"/>
      <c r="T234" s="14"/>
      <c r="U234" s="14"/>
      <c r="V234" s="14"/>
      <c r="W234" s="14"/>
      <c r="X234" s="14"/>
      <c r="Y234" s="14"/>
      <c r="Z234" s="14"/>
      <c r="AA234" s="14"/>
      <c r="AB234" s="14"/>
    </row>
    <row r="235" spans="2:30" x14ac:dyDescent="0.25">
      <c r="D235" s="32" t="s">
        <v>628</v>
      </c>
      <c r="E235" s="32"/>
      <c r="J235" s="164"/>
      <c r="K235" s="14"/>
      <c r="L235" s="164"/>
      <c r="M235" s="14"/>
      <c r="N235" s="14"/>
      <c r="O235" s="14"/>
      <c r="P235" s="14"/>
      <c r="Q235" s="14"/>
      <c r="R235" s="14"/>
      <c r="S235" s="14"/>
      <c r="T235" s="14"/>
      <c r="U235" s="14"/>
      <c r="V235" s="14"/>
      <c r="W235" s="14"/>
      <c r="X235" s="14"/>
      <c r="Y235" s="14"/>
      <c r="Z235" s="14"/>
      <c r="AA235" s="14"/>
      <c r="AB235" s="14"/>
    </row>
    <row r="236" spans="2:30" x14ac:dyDescent="0.25">
      <c r="C236" s="32"/>
      <c r="D236" s="32"/>
      <c r="E236" s="32"/>
      <c r="J236" s="164"/>
      <c r="K236" s="14"/>
      <c r="L236" s="164"/>
      <c r="M236" s="14"/>
      <c r="N236" s="14"/>
      <c r="O236" s="14"/>
      <c r="P236" s="14"/>
      <c r="Q236" s="14"/>
      <c r="R236" s="14"/>
      <c r="S236" s="14"/>
      <c r="T236" s="14"/>
      <c r="U236" s="14"/>
      <c r="V236" s="14"/>
      <c r="W236" s="14"/>
      <c r="X236" s="14"/>
      <c r="Y236" s="14"/>
      <c r="Z236" s="14"/>
      <c r="AA236" s="14"/>
      <c r="AB236" s="14"/>
    </row>
    <row r="237" spans="2:30" x14ac:dyDescent="0.25">
      <c r="C237" s="32"/>
      <c r="D237" s="32"/>
      <c r="E237" t="s">
        <v>231</v>
      </c>
      <c r="G237" s="6" t="s">
        <v>54</v>
      </c>
      <c r="H237" s="201">
        <f t="array" ref="H237">SUM(IF(ISERROR(H18:AB232), 1))</f>
        <v>0</v>
      </c>
      <c r="J237" s="63"/>
      <c r="K237" s="63"/>
      <c r="L237" s="63"/>
      <c r="M237" s="63"/>
      <c r="N237" s="63"/>
      <c r="O237" s="63"/>
      <c r="P237" s="63"/>
      <c r="Q237" s="63"/>
      <c r="R237" s="63"/>
      <c r="S237" s="63"/>
      <c r="T237" s="63"/>
      <c r="U237" s="63"/>
      <c r="V237" s="63"/>
      <c r="W237" s="63"/>
      <c r="X237" s="63"/>
      <c r="Y237" s="63"/>
      <c r="Z237" s="63"/>
      <c r="AA237" s="63"/>
      <c r="AB237" s="63"/>
    </row>
    <row r="238" spans="2:30" x14ac:dyDescent="0.25">
      <c r="C238" s="32"/>
      <c r="D238" s="32"/>
      <c r="E238" s="32"/>
      <c r="J238" s="63"/>
      <c r="L238" s="63"/>
    </row>
    <row r="239" spans="2:30" x14ac:dyDescent="0.25">
      <c r="C239" s="32"/>
      <c r="D239" s="32"/>
      <c r="E239" t="s">
        <v>629</v>
      </c>
      <c r="G239" s="6" t="s">
        <v>54</v>
      </c>
      <c r="H239" s="201">
        <f>SUM(J239:AB239)</f>
        <v>0</v>
      </c>
      <c r="I239" s="202"/>
      <c r="J239" s="201">
        <f t="shared" ref="J239:K239" si="160">IF(ABS(IFERROR(SUM(J152:J231), 1)) &gt; 0, 0, 1)</f>
        <v>0</v>
      </c>
      <c r="K239" s="201">
        <f t="shared" si="160"/>
        <v>0</v>
      </c>
      <c r="L239" s="201">
        <f t="shared" ref="L239:M239" si="161">IF(ABS(IFERROR(SUM(L152:L231), 1)) &gt; 0, 0, 1)</f>
        <v>0</v>
      </c>
      <c r="M239" s="201">
        <f t="shared" si="161"/>
        <v>0</v>
      </c>
      <c r="N239" s="201">
        <f t="shared" ref="N239:P239" si="162">IF(ABS(IFERROR(SUM(N152:N231), 1)) &gt; 0, 0, 1)</f>
        <v>0</v>
      </c>
      <c r="O239" s="201">
        <f t="shared" si="162"/>
        <v>0</v>
      </c>
      <c r="P239" s="201">
        <f t="shared" si="162"/>
        <v>0</v>
      </c>
      <c r="Q239" s="201">
        <f t="shared" ref="Q239:S239" si="163">IF(ABS(IFERROR(SUM(Q152:Q231), 1)) &gt; 0, 0, 1)</f>
        <v>0</v>
      </c>
      <c r="R239" s="201">
        <f t="shared" si="163"/>
        <v>0</v>
      </c>
      <c r="S239" s="201">
        <f t="shared" si="163"/>
        <v>0</v>
      </c>
      <c r="T239" s="201">
        <f t="shared" ref="T239:V239" si="164">IF(ABS(IFERROR(SUM(T152:T231), 1)) &gt; 0, 0, 1)</f>
        <v>0</v>
      </c>
      <c r="U239" s="201">
        <f t="shared" si="164"/>
        <v>0</v>
      </c>
      <c r="V239" s="201">
        <f t="shared" si="164"/>
        <v>0</v>
      </c>
      <c r="W239" s="201">
        <f t="shared" ref="W239:X239" si="165">IF(ABS(IFERROR(SUM(W152:W231), 1)) &gt; 0, 0, 1)</f>
        <v>0</v>
      </c>
      <c r="X239" s="201">
        <f t="shared" si="165"/>
        <v>0</v>
      </c>
      <c r="Y239" s="201">
        <f t="shared" ref="Y239:Z239" si="166">IF(ABS(IFERROR(SUM(Y152:Y231), 1)) &gt; 0, 0, 1)</f>
        <v>0</v>
      </c>
      <c r="Z239" s="201">
        <f t="shared" si="166"/>
        <v>0</v>
      </c>
      <c r="AA239" s="201">
        <f t="shared" ref="AA239:AB239" si="167">IF(ABS(IFERROR(SUM(AA152:AA231), 1)) &gt; 0, 0, 1)</f>
        <v>0</v>
      </c>
      <c r="AB239" s="201">
        <f t="shared" si="167"/>
        <v>0</v>
      </c>
    </row>
    <row r="240" spans="2:30" x14ac:dyDescent="0.25">
      <c r="C240" s="32"/>
      <c r="D240" s="32"/>
      <c r="E240" s="32"/>
      <c r="J240" s="164"/>
      <c r="K240" s="14"/>
      <c r="L240" s="164"/>
      <c r="M240" s="14"/>
      <c r="N240" s="14"/>
      <c r="O240" s="14"/>
      <c r="P240" s="14"/>
      <c r="Q240" s="14"/>
      <c r="R240" s="14"/>
      <c r="S240" s="14"/>
      <c r="T240" s="14"/>
      <c r="U240" s="14"/>
      <c r="V240" s="14"/>
      <c r="W240" s="14"/>
      <c r="X240" s="14"/>
      <c r="Y240" s="14"/>
      <c r="Z240" s="14"/>
      <c r="AA240" s="14"/>
      <c r="AB240" s="14"/>
    </row>
    <row r="241" spans="2:30" x14ac:dyDescent="0.25">
      <c r="C241" s="32"/>
      <c r="D241" s="32"/>
      <c r="E241" t="s">
        <v>630</v>
      </c>
      <c r="G241" s="6" t="s">
        <v>54</v>
      </c>
      <c r="H241" s="103">
        <f>SUM(H239, H237)</f>
        <v>0</v>
      </c>
      <c r="J241" s="164"/>
      <c r="K241" s="14"/>
      <c r="L241" s="164"/>
      <c r="M241" s="14"/>
      <c r="N241" s="14"/>
      <c r="O241" s="14"/>
      <c r="P241" s="14"/>
      <c r="Q241" s="14"/>
      <c r="R241" s="14"/>
      <c r="S241" s="14"/>
      <c r="T241" s="14"/>
      <c r="U241" s="14"/>
      <c r="V241" s="14"/>
      <c r="W241" s="14"/>
      <c r="X241" s="14"/>
      <c r="Y241" s="14"/>
      <c r="Z241" s="14"/>
      <c r="AA241" s="14"/>
      <c r="AB241" s="14"/>
    </row>
    <row r="242" spans="2:30" x14ac:dyDescent="0.25">
      <c r="C242" s="32"/>
      <c r="D242" s="32"/>
      <c r="E242" s="32"/>
      <c r="J242" s="63"/>
      <c r="L242" s="63"/>
    </row>
    <row r="243" spans="2:30" x14ac:dyDescent="0.25">
      <c r="B243" s="30" t="s">
        <v>105</v>
      </c>
      <c r="C243" s="30"/>
      <c r="D243" s="30"/>
      <c r="E243" s="30"/>
      <c r="F243" s="30"/>
      <c r="G243" s="30"/>
      <c r="H243" s="30"/>
      <c r="I243" s="30"/>
      <c r="J243" s="30"/>
      <c r="K243" s="30"/>
      <c r="L243" s="30"/>
      <c r="M243" s="30"/>
      <c r="N243" s="30"/>
      <c r="O243" s="30"/>
      <c r="P243" s="30"/>
      <c r="Q243" s="30"/>
      <c r="R243" s="30"/>
      <c r="S243" s="30"/>
      <c r="T243" s="30"/>
      <c r="U243" s="30"/>
      <c r="V243" s="30"/>
      <c r="W243" s="30"/>
      <c r="X243" s="30"/>
      <c r="Y243" s="30"/>
      <c r="Z243" s="30"/>
      <c r="AA243" s="30"/>
      <c r="AB243" s="30"/>
      <c r="AC243" s="30"/>
      <c r="AD243" s="30"/>
    </row>
  </sheetData>
  <sheetProtection sheet="1" objects="1" formatCells="0" formatColumns="0" formatRows="0" sort="0" autoFilter="0"/>
  <conditionalFormatting sqref="H239:H241">
    <cfRule type="cellIs" dxfId="121" priority="21" operator="greaterThan">
      <formula>0</formula>
    </cfRule>
  </conditionalFormatting>
  <conditionalFormatting sqref="H237">
    <cfRule type="cellIs" dxfId="120" priority="19" operator="greaterThan">
      <formula>0</formula>
    </cfRule>
  </conditionalFormatting>
  <conditionalFormatting sqref="H241">
    <cfRule type="cellIs" dxfId="119" priority="18" operator="greaterThan">
      <formula>0</formula>
    </cfRule>
  </conditionalFormatting>
  <conditionalFormatting sqref="A4:I4 AC4:XFD4">
    <cfRule type="expression" dxfId="118" priority="17">
      <formula>LEFT($A$4,1) &lt;&gt; "0"</formula>
    </cfRule>
  </conditionalFormatting>
  <conditionalFormatting sqref="N239:S241">
    <cfRule type="cellIs" dxfId="117" priority="16" operator="greaterThan">
      <formula>0</formula>
    </cfRule>
  </conditionalFormatting>
  <conditionalFormatting sqref="N4:S4">
    <cfRule type="expression" dxfId="116" priority="15">
      <formula>LEFT($A$4,1) &lt;&gt; "0"</formula>
    </cfRule>
  </conditionalFormatting>
  <conditionalFormatting sqref="L239:M241">
    <cfRule type="cellIs" dxfId="115" priority="14" operator="greaterThan">
      <formula>0</formula>
    </cfRule>
  </conditionalFormatting>
  <conditionalFormatting sqref="L4:M4">
    <cfRule type="expression" dxfId="114" priority="13">
      <formula>LEFT($A$4,1) &lt;&gt; "0"</formula>
    </cfRule>
  </conditionalFormatting>
  <conditionalFormatting sqref="J239:K241">
    <cfRule type="cellIs" dxfId="113" priority="12" operator="greaterThan">
      <formula>0</formula>
    </cfRule>
  </conditionalFormatting>
  <conditionalFormatting sqref="J4:K4">
    <cfRule type="expression" dxfId="112" priority="11">
      <formula>LEFT($A$4,1) &lt;&gt; "0"</formula>
    </cfRule>
  </conditionalFormatting>
  <conditionalFormatting sqref="T239:T241">
    <cfRule type="cellIs" dxfId="111" priority="10" operator="greaterThan">
      <formula>0</formula>
    </cfRule>
  </conditionalFormatting>
  <conditionalFormatting sqref="T4">
    <cfRule type="expression" dxfId="110" priority="9">
      <formula>LEFT($A$4,1) &lt;&gt; "0"</formula>
    </cfRule>
  </conditionalFormatting>
  <conditionalFormatting sqref="U239:V241">
    <cfRule type="cellIs" dxfId="109" priority="8" operator="greaterThan">
      <formula>0</formula>
    </cfRule>
  </conditionalFormatting>
  <conditionalFormatting sqref="U4:V4">
    <cfRule type="expression" dxfId="108" priority="7">
      <formula>LEFT($A$4,1) &lt;&gt; "0"</formula>
    </cfRule>
  </conditionalFormatting>
  <conditionalFormatting sqref="W239:X241">
    <cfRule type="cellIs" dxfId="107" priority="6" operator="greaterThan">
      <formula>0</formula>
    </cfRule>
  </conditionalFormatting>
  <conditionalFormatting sqref="W4:X4">
    <cfRule type="expression" dxfId="106" priority="5">
      <formula>LEFT($A$4,1) &lt;&gt; "0"</formula>
    </cfRule>
  </conditionalFormatting>
  <conditionalFormatting sqref="Y239:Z241">
    <cfRule type="cellIs" dxfId="105" priority="4" operator="greaterThan">
      <formula>0</formula>
    </cfRule>
  </conditionalFormatting>
  <conditionalFormatting sqref="Y4:Z4">
    <cfRule type="expression" dxfId="104" priority="3">
      <formula>LEFT($A$4,1) &lt;&gt; "0"</formula>
    </cfRule>
  </conditionalFormatting>
  <conditionalFormatting sqref="AA239:AB241">
    <cfRule type="cellIs" dxfId="103" priority="2" operator="greaterThan">
      <formula>0</formula>
    </cfRule>
  </conditionalFormatting>
  <conditionalFormatting sqref="AA4:AB4">
    <cfRule type="expression" dxfId="102" priority="1">
      <formula>LEFT($A$4,1) &lt;&gt; "0"</formula>
    </cfRule>
  </conditionalFormatting>
  <hyperlinks>
    <hyperlink ref="B5:F5" location="'Model map'!A1" display="Click here to return to model map" xr:uid="{00000000-0004-0000-1100-000000000000}"/>
  </hyperlinks>
  <pageMargins left="0.7" right="0.7" top="0.75" bottom="0.75" header="0.3" footer="0.3"/>
  <pageSetup paperSize="9" fitToHeight="0" orientation="portrait" r:id="rId1"/>
  <headerFooter>
    <oddHeader>&amp;L&amp;A&amp;C&amp;R&amp;P of &amp;N</oddHeader>
    <oddFooter>&amp;F</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8">
    <tabColor theme="4" tint="0.59999389629810485"/>
    <pageSetUpPr fitToPage="1"/>
  </sheetPr>
  <dimension ref="A1:LC5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8" width="17" customWidth="1"/>
    <col min="29" max="29" width="2.42578125" customWidth="1"/>
    <col min="30" max="30" width="50.5703125" customWidth="1"/>
    <col min="31" max="31" width="2.42578125" customWidth="1"/>
    <col min="32" max="32" width="24.5703125" hidden="1" customWidth="1"/>
    <col min="33" max="33" width="3.5703125" hidden="1" customWidth="1"/>
    <col min="34" max="34" width="15.42578125" hidden="1" customWidth="1"/>
    <col min="35" max="315" width="24.5703125" hidden="1" customWidth="1"/>
    <col min="316" max="16384" width="8.5703125" hidden="1"/>
  </cols>
  <sheetData>
    <row r="1" spans="1:30" s="1" customFormat="1" x14ac:dyDescent="0.25">
      <c r="A1" s="1" t="str">
        <f ca="1">MID(CELL("filename",A1),FIND("]",CELL("filename",A1))+1,255)</f>
        <v>Service model charges</v>
      </c>
    </row>
    <row r="2" spans="1:30" s="1" customFormat="1" x14ac:dyDescent="0.25">
      <c r="A2" s="1" t="str">
        <f>Cover!D21&amp;" - "&amp;Cover!D23</f>
        <v>SP Distribution - Two</v>
      </c>
    </row>
    <row r="3" spans="1:30" s="5" customFormat="1" x14ac:dyDescent="0.25">
      <c r="A3" s="5" t="str">
        <f>Cover!D2&amp;" - "&amp;Cover!D8&amp;" v"&amp;Cover!D10&amp;" - "&amp;Cover!D19</f>
        <v>CDCM charging model - Release for charge setting v6 - 2021/22</v>
      </c>
    </row>
    <row r="4" spans="1:30" x14ac:dyDescent="0.25">
      <c r="A4" s="12" t="str">
        <f>H48 &amp; IF(H48 = 1, " issue", " issues") &amp;" identified in checks on this sheet"</f>
        <v>0 issues identified in checks on this sheet</v>
      </c>
      <c r="B4" s="13"/>
      <c r="C4" s="13"/>
      <c r="D4" s="13"/>
      <c r="E4" s="13"/>
      <c r="F4" s="13"/>
      <c r="G4" s="13"/>
      <c r="H4" s="14"/>
      <c r="I4" s="14"/>
    </row>
    <row r="5" spans="1:30" ht="60" x14ac:dyDescent="0.25">
      <c r="B5" s="59" t="s">
        <v>141</v>
      </c>
      <c r="C5" s="60"/>
      <c r="D5" s="60"/>
      <c r="E5" s="60"/>
      <c r="F5" s="60"/>
      <c r="G5" s="61" t="s">
        <v>142</v>
      </c>
      <c r="H5" s="62" t="s">
        <v>143</v>
      </c>
      <c r="I5" s="14"/>
      <c r="J5" s="62" t="s">
        <v>893</v>
      </c>
      <c r="K5" s="62" t="s">
        <v>895</v>
      </c>
      <c r="L5" s="62" t="s">
        <v>894</v>
      </c>
      <c r="M5" s="62" t="s">
        <v>896</v>
      </c>
      <c r="N5" s="62" t="s">
        <v>902</v>
      </c>
      <c r="O5" s="62" t="s">
        <v>903</v>
      </c>
      <c r="P5" s="62" t="s">
        <v>904</v>
      </c>
      <c r="Q5" s="62" t="s">
        <v>1027</v>
      </c>
      <c r="R5" s="62" t="s">
        <v>1028</v>
      </c>
      <c r="S5" s="62" t="s">
        <v>1029</v>
      </c>
      <c r="T5" s="62" t="s">
        <v>905</v>
      </c>
      <c r="U5" s="62" t="s">
        <v>897</v>
      </c>
      <c r="V5" s="62" t="s">
        <v>898</v>
      </c>
      <c r="W5" s="62" t="s">
        <v>899</v>
      </c>
      <c r="X5" s="62" t="s">
        <v>908</v>
      </c>
      <c r="Y5" s="62" t="s">
        <v>900</v>
      </c>
      <c r="Z5" s="62" t="s">
        <v>907</v>
      </c>
      <c r="AA5" s="62" t="s">
        <v>901</v>
      </c>
      <c r="AB5" s="62" t="s">
        <v>906</v>
      </c>
      <c r="AD5" s="61" t="s">
        <v>144</v>
      </c>
    </row>
    <row r="7" spans="1:30" x14ac:dyDescent="0.25">
      <c r="B7" s="30" t="s">
        <v>9</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row>
    <row r="9" spans="1:30" x14ac:dyDescent="0.25">
      <c r="C9" s="29" t="s">
        <v>631</v>
      </c>
      <c r="D9"/>
      <c r="F9" s="29"/>
    </row>
    <row r="10" spans="1:30" x14ac:dyDescent="0.25">
      <c r="C10" s="29" t="s">
        <v>632</v>
      </c>
      <c r="D10"/>
      <c r="E10"/>
      <c r="F10" s="29"/>
    </row>
    <row r="11" spans="1:30" x14ac:dyDescent="0.25">
      <c r="C11" s="29" t="s">
        <v>633</v>
      </c>
    </row>
    <row r="13" spans="1:30" x14ac:dyDescent="0.25">
      <c r="B13" s="30" t="s">
        <v>634</v>
      </c>
      <c r="C13" s="30"/>
      <c r="D13" s="30"/>
      <c r="E13" s="30"/>
      <c r="F13" s="30"/>
      <c r="G13" s="30"/>
      <c r="H13" s="30"/>
      <c r="I13" s="30"/>
      <c r="J13" s="30"/>
      <c r="K13" s="30"/>
      <c r="L13" s="30"/>
      <c r="M13" s="30"/>
      <c r="N13" s="30"/>
      <c r="O13" s="30"/>
      <c r="P13" s="30"/>
      <c r="Q13" s="30"/>
      <c r="R13" s="30"/>
      <c r="S13" s="30"/>
      <c r="T13" s="30"/>
      <c r="U13" s="30"/>
      <c r="V13" s="30"/>
      <c r="W13" s="30"/>
      <c r="X13" s="30"/>
      <c r="Y13" s="30"/>
      <c r="Z13" s="30"/>
      <c r="AA13" s="30"/>
      <c r="AB13" s="30"/>
      <c r="AC13" s="30"/>
      <c r="AD13" s="30"/>
    </row>
    <row r="14" spans="1:30" x14ac:dyDescent="0.25">
      <c r="C14" s="88"/>
    </row>
    <row r="15" spans="1:30" x14ac:dyDescent="0.25">
      <c r="B15" s="2"/>
      <c r="C15" s="29" t="s">
        <v>635</v>
      </c>
    </row>
    <row r="16" spans="1:30" x14ac:dyDescent="0.25">
      <c r="C16" s="88"/>
    </row>
    <row r="17" spans="2:30" x14ac:dyDescent="0.25">
      <c r="C17" s="31" t="str">
        <f ca="1">INDEX('Version control'!$H$34:$H$57,MATCH($A$1,'Version control'!$F$34:$F$57,0),1)&amp;"-A: Inputs to service model charge calculation"</f>
        <v>Section 110-A: Inputs to service model charge calculation</v>
      </c>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row>
    <row r="18" spans="2:30" x14ac:dyDescent="0.25">
      <c r="C18" s="88"/>
    </row>
    <row r="19" spans="2:30" x14ac:dyDescent="0.25">
      <c r="D19"/>
      <c r="E19" s="28" t="s">
        <v>567</v>
      </c>
      <c r="F19" s="28"/>
      <c r="G19" s="28" t="s">
        <v>166</v>
      </c>
      <c r="H19" s="179">
        <f>'Unit costs'!$H$121</f>
        <v>4.8216791977211342E-2</v>
      </c>
      <c r="I19" s="3"/>
      <c r="J19" s="3"/>
      <c r="K19" s="3"/>
      <c r="L19" s="3"/>
      <c r="M19" s="3"/>
      <c r="N19" s="3"/>
      <c r="P19" s="3"/>
      <c r="Q19" s="3"/>
      <c r="R19" s="3"/>
      <c r="S19" s="3"/>
    </row>
    <row r="20" spans="2:30" x14ac:dyDescent="0.25">
      <c r="C20" s="88"/>
      <c r="E20" t="s">
        <v>597</v>
      </c>
      <c r="G20" t="s">
        <v>356</v>
      </c>
      <c r="H20" s="120">
        <f>'Unit costs'!$H$122</f>
        <v>116672119.90617666</v>
      </c>
    </row>
    <row r="21" spans="2:30" x14ac:dyDescent="0.25">
      <c r="C21" s="88"/>
      <c r="E21" t="s">
        <v>636</v>
      </c>
      <c r="G21" t="s">
        <v>356</v>
      </c>
      <c r="H21" s="120">
        <f>'Unit costs'!$H$123</f>
        <v>3274152044.2851853</v>
      </c>
    </row>
    <row r="22" spans="2:30" x14ac:dyDescent="0.25">
      <c r="D22" s="88"/>
      <c r="E22"/>
    </row>
    <row r="23" spans="2:30" x14ac:dyDescent="0.25">
      <c r="D23"/>
      <c r="E23" s="32" t="s">
        <v>637</v>
      </c>
      <c r="H23" s="63"/>
      <c r="J23" s="63"/>
      <c r="K23" s="63"/>
      <c r="L23" s="63"/>
      <c r="M23" s="63"/>
      <c r="N23" s="63"/>
    </row>
    <row r="24" spans="2:30" x14ac:dyDescent="0.25">
      <c r="D24"/>
      <c r="E24" s="29" t="s">
        <v>638</v>
      </c>
      <c r="H24" s="63"/>
    </row>
    <row r="25" spans="2:30" x14ac:dyDescent="0.25">
      <c r="E25" s="88"/>
      <c r="F25" s="23" t="s">
        <v>375</v>
      </c>
      <c r="G25" s="23" t="s">
        <v>260</v>
      </c>
      <c r="H25" s="174"/>
      <c r="I25" s="23"/>
      <c r="J25" s="124">
        <f>'Inputs by customer type'!J53</f>
        <v>377.70000000000005</v>
      </c>
      <c r="K25" s="124">
        <f>'Inputs by customer type'!K53</f>
        <v>0</v>
      </c>
      <c r="L25" s="124">
        <f>'Inputs by customer type'!L53</f>
        <v>508.75</v>
      </c>
      <c r="M25" s="124">
        <f>'Inputs by customer type'!M53</f>
        <v>0</v>
      </c>
      <c r="N25" s="124">
        <f>'Inputs by customer type'!N53</f>
        <v>2380</v>
      </c>
      <c r="O25" s="124">
        <f>'Inputs by customer type'!O53</f>
        <v>840</v>
      </c>
      <c r="P25" s="124">
        <f>'Inputs by customer type'!P53</f>
        <v>0</v>
      </c>
      <c r="Q25" s="124">
        <f>'Inputs by customer type'!Q53</f>
        <v>2380</v>
      </c>
      <c r="R25" s="124">
        <f>'Inputs by customer type'!R53</f>
        <v>840</v>
      </c>
      <c r="S25" s="124">
        <f>'Inputs by customer type'!S53</f>
        <v>0</v>
      </c>
      <c r="T25" s="83"/>
      <c r="U25" s="124">
        <f>'Inputs by customer type'!U53</f>
        <v>0</v>
      </c>
      <c r="V25" s="124">
        <f>'Inputs by customer type'!V53</f>
        <v>0</v>
      </c>
      <c r="W25" s="124">
        <f>'Inputs by customer type'!W53</f>
        <v>0</v>
      </c>
      <c r="X25" s="124">
        <f>'Inputs by customer type'!X53</f>
        <v>0</v>
      </c>
      <c r="Y25" s="124">
        <f>'Inputs by customer type'!Y53</f>
        <v>0</v>
      </c>
      <c r="Z25" s="124">
        <f>'Inputs by customer type'!Z53</f>
        <v>0</v>
      </c>
      <c r="AA25" s="124">
        <f>'Inputs by customer type'!AA53</f>
        <v>0</v>
      </c>
      <c r="AB25" s="124">
        <f>'Inputs by customer type'!AB53</f>
        <v>0</v>
      </c>
    </row>
    <row r="26" spans="2:30" x14ac:dyDescent="0.25">
      <c r="E26" s="88"/>
      <c r="F26" t="s">
        <v>376</v>
      </c>
      <c r="G26" t="s">
        <v>260</v>
      </c>
      <c r="H26" s="51"/>
      <c r="J26" s="120">
        <f>'Inputs by customer type'!J54</f>
        <v>0</v>
      </c>
      <c r="K26" s="120">
        <f>'Inputs by customer type'!K54</f>
        <v>0</v>
      </c>
      <c r="L26" s="120">
        <f>'Inputs by customer type'!L54</f>
        <v>0</v>
      </c>
      <c r="M26" s="120">
        <f>'Inputs by customer type'!M54</f>
        <v>0</v>
      </c>
      <c r="N26" s="120">
        <f>'Inputs by customer type'!N54</f>
        <v>0</v>
      </c>
      <c r="O26" s="120">
        <f>'Inputs by customer type'!O54</f>
        <v>0</v>
      </c>
      <c r="P26" s="120">
        <f>'Inputs by customer type'!P54</f>
        <v>12718.10554</v>
      </c>
      <c r="Q26" s="120">
        <f>'Inputs by customer type'!Q54</f>
        <v>0</v>
      </c>
      <c r="R26" s="120">
        <f>'Inputs by customer type'!R54</f>
        <v>0</v>
      </c>
      <c r="S26" s="120">
        <f>'Inputs by customer type'!S54</f>
        <v>12718.10554</v>
      </c>
      <c r="T26" s="79"/>
      <c r="U26" s="120">
        <f>'Inputs by customer type'!U54</f>
        <v>0</v>
      </c>
      <c r="V26" s="120">
        <f>'Inputs by customer type'!V54</f>
        <v>0</v>
      </c>
      <c r="W26" s="120">
        <f>'Inputs by customer type'!W54</f>
        <v>0</v>
      </c>
      <c r="X26" s="120">
        <f>'Inputs by customer type'!X54</f>
        <v>0</v>
      </c>
      <c r="Y26" s="120">
        <f>'Inputs by customer type'!Y54</f>
        <v>0</v>
      </c>
      <c r="Z26" s="120">
        <f>'Inputs by customer type'!Z54</f>
        <v>0</v>
      </c>
      <c r="AA26" s="120">
        <f>'Inputs by customer type'!AA54</f>
        <v>9287</v>
      </c>
      <c r="AB26" s="120">
        <f>'Inputs by customer type'!AB54</f>
        <v>9287</v>
      </c>
    </row>
    <row r="27" spans="2:30" x14ac:dyDescent="0.25">
      <c r="E27" s="88"/>
      <c r="F27" s="37" t="s">
        <v>552</v>
      </c>
      <c r="G27" s="37" t="s">
        <v>263</v>
      </c>
      <c r="H27" s="37"/>
      <c r="I27" s="37"/>
      <c r="J27" s="81"/>
      <c r="K27" s="81"/>
      <c r="L27" s="81"/>
      <c r="M27" s="81"/>
      <c r="N27" s="81"/>
      <c r="O27" s="81"/>
      <c r="P27" s="81"/>
      <c r="Q27" s="81"/>
      <c r="R27" s="81"/>
      <c r="S27" s="81"/>
      <c r="T27" s="125">
        <f>'Inputs by customer type'!T56</f>
        <v>120.51</v>
      </c>
      <c r="U27" s="81"/>
      <c r="V27" s="81"/>
      <c r="W27" s="81"/>
      <c r="X27" s="81"/>
      <c r="Y27" s="81"/>
      <c r="Z27" s="81"/>
      <c r="AA27" s="81"/>
      <c r="AB27" s="81"/>
    </row>
    <row r="28" spans="2:30" x14ac:dyDescent="0.25">
      <c r="D28" s="88"/>
      <c r="E28"/>
    </row>
    <row r="29" spans="2:30" x14ac:dyDescent="0.25">
      <c r="B29" s="30" t="s">
        <v>639</v>
      </c>
      <c r="C29" s="30"/>
      <c r="D29" s="30"/>
      <c r="E29" s="30"/>
      <c r="F29" s="30"/>
      <c r="G29" s="30"/>
      <c r="H29" s="30"/>
      <c r="I29" s="30"/>
      <c r="J29" s="30"/>
      <c r="K29" s="30"/>
      <c r="L29" s="30"/>
      <c r="M29" s="30"/>
      <c r="N29" s="30"/>
      <c r="O29" s="30"/>
      <c r="P29" s="30"/>
      <c r="Q29" s="30"/>
      <c r="R29" s="30"/>
      <c r="S29" s="30"/>
      <c r="T29" s="30"/>
      <c r="U29" s="30"/>
      <c r="V29" s="30"/>
      <c r="W29" s="30"/>
      <c r="X29" s="30"/>
      <c r="Y29" s="30"/>
      <c r="Z29" s="30"/>
      <c r="AA29" s="30"/>
      <c r="AB29" s="30"/>
      <c r="AC29" s="30"/>
      <c r="AD29" s="30"/>
    </row>
    <row r="30" spans="2:30" x14ac:dyDescent="0.25">
      <c r="C30" s="88"/>
    </row>
    <row r="31" spans="2:30" x14ac:dyDescent="0.25">
      <c r="C31" s="29" t="s">
        <v>640</v>
      </c>
    </row>
    <row r="32" spans="2:30" x14ac:dyDescent="0.25">
      <c r="C32" s="88"/>
    </row>
    <row r="33" spans="2:30" x14ac:dyDescent="0.25">
      <c r="C33" s="31" t="str">
        <f ca="1">INDEX('Version control'!$H$34:$H$57,MATCH($A$1,'Version control'!$F$34:$F$57,0),1)&amp;"-B: Calculation of other operating expenditure per £ of notional asset value"</f>
        <v>Section 110-B: Calculation of other operating expenditure per £ of notional asset value</v>
      </c>
      <c r="D33" s="31"/>
      <c r="E33" s="31"/>
      <c r="F33" s="31"/>
      <c r="G33" s="31"/>
      <c r="H33" s="31"/>
      <c r="I33" s="31"/>
      <c r="J33" s="31"/>
      <c r="K33" s="31"/>
      <c r="L33" s="31"/>
      <c r="M33" s="31"/>
      <c r="N33" s="31"/>
      <c r="O33" s="31"/>
      <c r="P33" s="31"/>
      <c r="Q33" s="31"/>
      <c r="R33" s="31"/>
      <c r="S33" s="31"/>
      <c r="T33" s="31"/>
      <c r="U33" s="31"/>
      <c r="V33" s="31"/>
      <c r="W33" s="31"/>
      <c r="X33" s="31"/>
      <c r="Y33" s="31"/>
      <c r="Z33" s="31"/>
      <c r="AA33" s="31"/>
      <c r="AB33" s="31"/>
      <c r="AC33" s="31"/>
      <c r="AD33" s="31"/>
    </row>
    <row r="34" spans="2:30" x14ac:dyDescent="0.25">
      <c r="C34" s="88"/>
    </row>
    <row r="35" spans="2:30" x14ac:dyDescent="0.25">
      <c r="D35"/>
      <c r="E35" t="s">
        <v>641</v>
      </c>
      <c r="G35" t="s">
        <v>276</v>
      </c>
      <c r="H35" s="98">
        <f>IF(H21 &lt;&gt; 0, H20  /H21, 0)</f>
        <v>3.5634301134493764E-2</v>
      </c>
      <c r="I35" t="s">
        <v>153</v>
      </c>
      <c r="J35" s="63"/>
      <c r="K35" s="63"/>
      <c r="L35" s="63"/>
      <c r="M35" s="63"/>
      <c r="N35" s="63"/>
      <c r="O35" s="63"/>
      <c r="P35" s="63"/>
      <c r="Q35" s="63"/>
      <c r="R35" s="63"/>
      <c r="S35" s="63"/>
      <c r="T35" s="63"/>
      <c r="U35" s="63"/>
      <c r="V35" s="63"/>
      <c r="W35" s="63"/>
      <c r="X35" s="63"/>
      <c r="Y35" s="63"/>
      <c r="Z35" s="63"/>
      <c r="AA35" s="63"/>
      <c r="AB35" s="63"/>
      <c r="AD35" t="s">
        <v>642</v>
      </c>
    </row>
    <row r="36" spans="2:30" x14ac:dyDescent="0.25">
      <c r="D36" s="88"/>
      <c r="E36"/>
      <c r="J36" s="63"/>
      <c r="K36" s="63"/>
      <c r="L36" s="63"/>
      <c r="M36" s="63"/>
      <c r="N36" s="63"/>
      <c r="O36" s="63"/>
      <c r="P36" s="63"/>
      <c r="Q36" s="63"/>
      <c r="R36" s="63"/>
      <c r="S36" s="63"/>
      <c r="T36" s="63"/>
      <c r="U36" s="63"/>
      <c r="V36" s="63"/>
      <c r="W36" s="63"/>
      <c r="X36" s="63"/>
      <c r="Y36" s="63"/>
      <c r="Z36" s="63"/>
      <c r="AA36" s="63"/>
      <c r="AB36" s="63"/>
    </row>
    <row r="37" spans="2:30" x14ac:dyDescent="0.25">
      <c r="C37" s="31" t="str">
        <f ca="1">INDEX('Version control'!$H$34:$H$57,MATCH($A$1,'Version control'!$F$34:$F$57,0),1)&amp;"-C: Calculation of service model charges"</f>
        <v>Section 110-C: Calculation of service model charges</v>
      </c>
      <c r="D37" s="31"/>
      <c r="E37" s="31"/>
      <c r="F37" s="31"/>
      <c r="G37" s="31"/>
      <c r="H37" s="31"/>
      <c r="I37" s="31"/>
      <c r="J37" s="31"/>
      <c r="K37" s="31"/>
      <c r="L37" s="31"/>
      <c r="M37" s="31"/>
      <c r="N37" s="31"/>
      <c r="O37" s="31"/>
      <c r="P37" s="31"/>
      <c r="Q37" s="31"/>
      <c r="R37" s="31"/>
      <c r="S37" s="31"/>
      <c r="T37" s="31"/>
      <c r="U37" s="31"/>
      <c r="V37" s="31"/>
      <c r="W37" s="31"/>
      <c r="X37" s="31"/>
      <c r="Y37" s="31"/>
      <c r="Z37" s="31"/>
      <c r="AA37" s="31"/>
      <c r="AB37" s="31"/>
      <c r="AC37" s="31"/>
      <c r="AD37" s="31"/>
    </row>
    <row r="38" spans="2:30" x14ac:dyDescent="0.25">
      <c r="C38" s="88"/>
    </row>
    <row r="39" spans="2:30" x14ac:dyDescent="0.25">
      <c r="D39"/>
      <c r="E39" s="29" t="s">
        <v>643</v>
      </c>
      <c r="H39" s="63"/>
      <c r="J39" s="63"/>
      <c r="K39" s="63"/>
      <c r="L39" s="63"/>
      <c r="M39" s="63"/>
      <c r="N39" s="63"/>
      <c r="O39" s="63"/>
      <c r="P39" s="63"/>
      <c r="Q39" s="63"/>
      <c r="R39" s="63"/>
      <c r="S39" s="63"/>
      <c r="T39" s="63"/>
      <c r="U39" s="63"/>
      <c r="V39" s="63"/>
      <c r="W39" s="63"/>
      <c r="X39" s="63"/>
      <c r="Y39" s="63"/>
      <c r="Z39" s="63"/>
      <c r="AA39" s="63"/>
      <c r="AB39" s="63"/>
    </row>
    <row r="40" spans="2:30" x14ac:dyDescent="0.25">
      <c r="D40"/>
      <c r="E40" s="29"/>
      <c r="H40" s="63"/>
      <c r="J40" s="63"/>
      <c r="K40" s="63"/>
      <c r="L40" s="63"/>
      <c r="M40" s="63"/>
      <c r="N40" s="63"/>
      <c r="O40" s="63"/>
      <c r="P40" s="63"/>
      <c r="Q40" s="63"/>
      <c r="R40" s="63"/>
      <c r="S40" s="63"/>
      <c r="T40" s="63"/>
      <c r="U40" s="63"/>
      <c r="V40" s="63"/>
      <c r="W40" s="63"/>
      <c r="X40" s="63"/>
      <c r="Y40" s="63"/>
      <c r="Z40" s="63"/>
      <c r="AA40" s="63"/>
      <c r="AB40" s="63"/>
    </row>
    <row r="41" spans="2:30" x14ac:dyDescent="0.25">
      <c r="D41"/>
      <c r="E41" s="32" t="s">
        <v>644</v>
      </c>
      <c r="H41" s="63"/>
      <c r="I41" t="s">
        <v>153</v>
      </c>
      <c r="J41" s="63"/>
      <c r="K41" s="63"/>
      <c r="L41" s="63"/>
      <c r="M41" s="63"/>
      <c r="N41" s="63"/>
      <c r="O41" s="63"/>
      <c r="P41" s="63"/>
      <c r="Q41" s="63"/>
      <c r="R41" s="63"/>
      <c r="S41" s="63"/>
      <c r="T41" s="63"/>
      <c r="U41" s="63"/>
      <c r="V41" s="63"/>
      <c r="W41" s="63"/>
      <c r="X41" s="63"/>
      <c r="Y41" s="63"/>
      <c r="Z41" s="63"/>
      <c r="AA41" s="63"/>
      <c r="AB41" s="63"/>
      <c r="AD41" t="s">
        <v>645</v>
      </c>
    </row>
    <row r="42" spans="2:30" x14ac:dyDescent="0.25">
      <c r="D42"/>
      <c r="E42" s="88"/>
      <c r="F42" s="23" t="s">
        <v>375</v>
      </c>
      <c r="G42" s="23" t="s">
        <v>269</v>
      </c>
      <c r="H42" s="174"/>
      <c r="I42" s="23"/>
      <c r="J42" s="101">
        <f t="shared" ref="J42:K42" si="0">J25 * $H$35 / days_in_year * hundred</f>
        <v>3.6874179557529576</v>
      </c>
      <c r="K42" s="101">
        <f t="shared" si="0"/>
        <v>0</v>
      </c>
      <c r="L42" s="101">
        <f t="shared" ref="L42:M42" si="1">L25 * $H$35 / days_in_year * hundred</f>
        <v>4.9668358088147135</v>
      </c>
      <c r="M42" s="101">
        <f t="shared" si="1"/>
        <v>0</v>
      </c>
      <c r="N42" s="101">
        <f t="shared" ref="N42:P42" si="2">N25 * $H$35 / days_in_year * hundred</f>
        <v>23.235516904135658</v>
      </c>
      <c r="O42" s="101">
        <f t="shared" si="2"/>
        <v>8.2007706720478808</v>
      </c>
      <c r="P42" s="101">
        <f t="shared" si="2"/>
        <v>0</v>
      </c>
      <c r="Q42" s="101">
        <f t="shared" ref="Q42:S42" si="3">Q25 * $H$35 / days_in_year * hundred</f>
        <v>23.235516904135658</v>
      </c>
      <c r="R42" s="101">
        <f t="shared" si="3"/>
        <v>8.2007706720478808</v>
      </c>
      <c r="S42" s="101">
        <f t="shared" si="3"/>
        <v>0</v>
      </c>
      <c r="T42" s="101">
        <f t="shared" ref="T42:V42" si="4">T25 * $H$35 / days_in_year * hundred</f>
        <v>0</v>
      </c>
      <c r="U42" s="101">
        <f t="shared" si="4"/>
        <v>0</v>
      </c>
      <c r="V42" s="101">
        <f t="shared" si="4"/>
        <v>0</v>
      </c>
      <c r="W42" s="101">
        <f t="shared" ref="W42:X42" si="5">W25 * $H$35 / days_in_year * hundred</f>
        <v>0</v>
      </c>
      <c r="X42" s="101">
        <f t="shared" si="5"/>
        <v>0</v>
      </c>
      <c r="Y42" s="101">
        <f t="shared" ref="Y42:Z42" si="6">Y25 * $H$35 / days_in_year * hundred</f>
        <v>0</v>
      </c>
      <c r="Z42" s="101">
        <f t="shared" si="6"/>
        <v>0</v>
      </c>
      <c r="AA42" s="101">
        <f t="shared" ref="AA42:AB42" si="7">AA25 * $H$35 / days_in_year * hundred</f>
        <v>0</v>
      </c>
      <c r="AB42" s="101">
        <f t="shared" si="7"/>
        <v>0</v>
      </c>
    </row>
    <row r="43" spans="2:30" x14ac:dyDescent="0.25">
      <c r="D43"/>
      <c r="E43" s="88"/>
      <c r="F43" t="s">
        <v>376</v>
      </c>
      <c r="G43" t="s">
        <v>269</v>
      </c>
      <c r="H43" s="51"/>
      <c r="J43" s="121">
        <f t="shared" ref="J43:K43" si="8">J26 * $H$35 / days_in_year * hundred</f>
        <v>0</v>
      </c>
      <c r="K43" s="121">
        <f t="shared" si="8"/>
        <v>0</v>
      </c>
      <c r="L43" s="121">
        <f t="shared" ref="L43:M43" si="9">L26 * $H$35 / days_in_year * hundred</f>
        <v>0</v>
      </c>
      <c r="M43" s="121">
        <f t="shared" si="9"/>
        <v>0</v>
      </c>
      <c r="N43" s="121">
        <f t="shared" ref="N43:P43" si="10">N26 * $H$35 / days_in_year * hundred</f>
        <v>0</v>
      </c>
      <c r="O43" s="121">
        <f t="shared" si="10"/>
        <v>0</v>
      </c>
      <c r="P43" s="121">
        <f t="shared" si="10"/>
        <v>124.16460347195436</v>
      </c>
      <c r="Q43" s="121">
        <f t="shared" ref="Q43:S43" si="11">Q26 * $H$35 / days_in_year * hundred</f>
        <v>0</v>
      </c>
      <c r="R43" s="121">
        <f t="shared" si="11"/>
        <v>0</v>
      </c>
      <c r="S43" s="121">
        <f t="shared" si="11"/>
        <v>124.16460347195436</v>
      </c>
      <c r="T43" s="121">
        <f t="shared" ref="T43:V43" si="12">T26 * $H$35 / days_in_year * hundred</f>
        <v>0</v>
      </c>
      <c r="U43" s="121">
        <f t="shared" si="12"/>
        <v>0</v>
      </c>
      <c r="V43" s="121">
        <f t="shared" si="12"/>
        <v>0</v>
      </c>
      <c r="W43" s="121">
        <f t="shared" ref="W43:X43" si="13">W26 * $H$35 / days_in_year * hundred</f>
        <v>0</v>
      </c>
      <c r="X43" s="121">
        <f t="shared" si="13"/>
        <v>0</v>
      </c>
      <c r="Y43" s="121">
        <f t="shared" ref="Y43:Z43" si="14">Y26 * $H$35 / days_in_year * hundred</f>
        <v>0</v>
      </c>
      <c r="Z43" s="121">
        <f t="shared" si="14"/>
        <v>0</v>
      </c>
      <c r="AA43" s="121">
        <f t="shared" ref="AA43:AB43" si="15">AA26 * $H$35 / days_in_year * hundred</f>
        <v>90.667330037272208</v>
      </c>
      <c r="AB43" s="121">
        <f t="shared" si="15"/>
        <v>90.667330037272208</v>
      </c>
    </row>
    <row r="44" spans="2:30" x14ac:dyDescent="0.25">
      <c r="D44"/>
      <c r="E44" s="88"/>
      <c r="F44" s="37" t="s">
        <v>552</v>
      </c>
      <c r="G44" s="37" t="s">
        <v>268</v>
      </c>
      <c r="H44" s="275"/>
      <c r="I44" s="275"/>
      <c r="J44" s="276"/>
      <c r="K44" s="276"/>
      <c r="L44" s="276"/>
      <c r="M44" s="276"/>
      <c r="N44" s="276"/>
      <c r="O44" s="276"/>
      <c r="P44" s="276"/>
      <c r="Q44" s="276"/>
      <c r="R44" s="276"/>
      <c r="S44" s="276"/>
      <c r="T44" s="284">
        <f t="shared" ref="T44" si="16">T27*$H$35/ten</f>
        <v>0.42942896297178434</v>
      </c>
      <c r="U44" s="276"/>
      <c r="V44" s="276"/>
      <c r="W44" s="276"/>
      <c r="X44" s="276"/>
      <c r="Y44" s="276"/>
      <c r="Z44" s="276"/>
      <c r="AA44" s="276"/>
      <c r="AB44" s="276"/>
      <c r="AC44" s="271"/>
      <c r="AD44" s="271"/>
    </row>
    <row r="45" spans="2:30" x14ac:dyDescent="0.25">
      <c r="D45" s="88"/>
      <c r="E45"/>
    </row>
    <row r="46" spans="2:30" x14ac:dyDescent="0.25">
      <c r="B46" s="30" t="s">
        <v>230</v>
      </c>
      <c r="C46" s="30"/>
      <c r="D46" s="30"/>
      <c r="E46" s="30"/>
      <c r="F46" s="30"/>
      <c r="G46" s="30"/>
      <c r="H46" s="30"/>
      <c r="I46" s="30"/>
      <c r="J46" s="30"/>
      <c r="K46" s="30"/>
      <c r="L46" s="30"/>
      <c r="M46" s="30"/>
      <c r="N46" s="30"/>
      <c r="O46" s="30"/>
      <c r="P46" s="30"/>
      <c r="Q46" s="30"/>
      <c r="R46" s="30"/>
      <c r="S46" s="30"/>
      <c r="T46" s="30"/>
      <c r="U46" s="30"/>
      <c r="V46" s="30"/>
      <c r="W46" s="30"/>
      <c r="X46" s="30"/>
      <c r="Y46" s="30"/>
      <c r="Z46" s="30"/>
      <c r="AA46" s="30"/>
      <c r="AB46" s="30"/>
      <c r="AC46" s="30"/>
      <c r="AD46" s="30"/>
    </row>
    <row r="48" spans="2:30" x14ac:dyDescent="0.25">
      <c r="E48" t="s">
        <v>231</v>
      </c>
      <c r="G48" s="6" t="s">
        <v>54</v>
      </c>
      <c r="H48" s="26">
        <f t="array" ref="H48">SUM(IF(ISERROR(H19:AB45), 1))</f>
        <v>0</v>
      </c>
    </row>
    <row r="50" spans="2:30" x14ac:dyDescent="0.25">
      <c r="B50" s="30" t="s">
        <v>105</v>
      </c>
      <c r="C50" s="104"/>
      <c r="D50" s="112"/>
      <c r="E50" s="112"/>
      <c r="F50" s="104"/>
      <c r="G50" s="104"/>
      <c r="H50" s="104"/>
      <c r="I50" s="104"/>
      <c r="J50" s="104"/>
      <c r="K50" s="104"/>
      <c r="L50" s="104"/>
      <c r="M50" s="104"/>
      <c r="N50" s="104"/>
      <c r="O50" s="104"/>
      <c r="P50" s="104"/>
      <c r="Q50" s="104"/>
      <c r="R50" s="104"/>
      <c r="S50" s="104"/>
      <c r="T50" s="104"/>
      <c r="U50" s="104"/>
      <c r="V50" s="104"/>
      <c r="W50" s="104"/>
      <c r="X50" s="104"/>
      <c r="Y50" s="104"/>
      <c r="Z50" s="104"/>
      <c r="AA50" s="104"/>
      <c r="AB50" s="104"/>
      <c r="AC50" s="105"/>
      <c r="AD50" s="105"/>
    </row>
  </sheetData>
  <sheetProtection sheet="1" objects="1" formatCells="0" formatColumns="0" formatRows="0" sort="0" autoFilter="0"/>
  <conditionalFormatting sqref="H48">
    <cfRule type="cellIs" dxfId="101" priority="10" operator="greaterThan">
      <formula>0</formula>
    </cfRule>
  </conditionalFormatting>
  <conditionalFormatting sqref="A4:I4 AC4:XFD4">
    <cfRule type="expression" dxfId="100" priority="9">
      <formula>LEFT($A$4,1) &lt;&gt; "0"</formula>
    </cfRule>
  </conditionalFormatting>
  <conditionalFormatting sqref="N4:S4">
    <cfRule type="expression" dxfId="99" priority="8">
      <formula>LEFT($A$4,1) &lt;&gt; "0"</formula>
    </cfRule>
  </conditionalFormatting>
  <conditionalFormatting sqref="L4:M4">
    <cfRule type="expression" dxfId="98" priority="7">
      <formula>LEFT($A$4,1) &lt;&gt; "0"</formula>
    </cfRule>
  </conditionalFormatting>
  <conditionalFormatting sqref="J4:K4">
    <cfRule type="expression" dxfId="97" priority="6">
      <formula>LEFT($A$4,1) &lt;&gt; "0"</formula>
    </cfRule>
  </conditionalFormatting>
  <conditionalFormatting sqref="T4">
    <cfRule type="expression" dxfId="96" priority="5">
      <formula>LEFT($A$4,1) &lt;&gt; "0"</formula>
    </cfRule>
  </conditionalFormatting>
  <conditionalFormatting sqref="U4:V4">
    <cfRule type="expression" dxfId="95" priority="4">
      <formula>LEFT($A$4,1) &lt;&gt; "0"</formula>
    </cfRule>
  </conditionalFormatting>
  <conditionalFormatting sqref="W4:X4">
    <cfRule type="expression" dxfId="94" priority="3">
      <formula>LEFT($A$4,1) &lt;&gt; "0"</formula>
    </cfRule>
  </conditionalFormatting>
  <conditionalFormatting sqref="Y4:Z4">
    <cfRule type="expression" dxfId="93" priority="2">
      <formula>LEFT($A$4,1) &lt;&gt; "0"</formula>
    </cfRule>
  </conditionalFormatting>
  <conditionalFormatting sqref="AA4:AB4">
    <cfRule type="expression" dxfId="92" priority="1">
      <formula>LEFT($A$4,1) &lt;&gt; "0"</formula>
    </cfRule>
  </conditionalFormatting>
  <hyperlinks>
    <hyperlink ref="B5:F5" location="'Model map'!A1" display="Click here to return to model map" xr:uid="{00000000-0004-0000-1200-000000000000}"/>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6" tint="0.39997558519241921"/>
  </sheetPr>
  <dimension ref="A1:M75"/>
  <sheetViews>
    <sheetView showGridLines="0" zoomScale="80" zoomScaleNormal="80" workbookViewId="0">
      <pane ySplit="3" topLeftCell="A4" activePane="bottomLeft" state="frozen"/>
      <selection pane="bottomLeft"/>
    </sheetView>
  </sheetViews>
  <sheetFormatPr defaultColWidth="0" defaultRowHeight="15" x14ac:dyDescent="0.25"/>
  <cols>
    <col min="1" max="5" width="2.5703125" style="6" customWidth="1"/>
    <col min="6" max="6" width="20.7109375" style="6" customWidth="1"/>
    <col min="7" max="7" width="22.7109375" style="6" customWidth="1"/>
    <col min="8" max="8" width="24.28515625" style="6" customWidth="1"/>
    <col min="9" max="9" width="30.7109375" style="6" customWidth="1"/>
    <col min="10" max="10" width="19.42578125" style="6" bestFit="1" customWidth="1"/>
    <col min="11" max="11" width="10.5703125" style="6" customWidth="1"/>
    <col min="12" max="12" width="82.5703125" style="6" customWidth="1"/>
    <col min="13" max="13" width="2.5703125" style="6" customWidth="1"/>
    <col min="14" max="16384" width="9.28515625" style="6" hidden="1"/>
  </cols>
  <sheetData>
    <row r="1" spans="1:13" s="1" customFormat="1" x14ac:dyDescent="0.25">
      <c r="A1" s="1" t="str">
        <f ca="1">MID(CELL("filename",A1),FIND("]",CELL("filename",A1))+1,255)</f>
        <v>Version control</v>
      </c>
    </row>
    <row r="2" spans="1:13" s="1" customFormat="1" x14ac:dyDescent="0.25">
      <c r="A2" s="1" t="str">
        <f>Cover!D21&amp;" - "&amp;Cover!D23</f>
        <v>SP Distribution - Two</v>
      </c>
    </row>
    <row r="3" spans="1:13" s="5" customFormat="1" x14ac:dyDescent="0.25">
      <c r="A3" s="5" t="str">
        <f>Cover!D2&amp;" - "&amp;Cover!D8&amp;" v"&amp;Cover!D10&amp;" - "&amp;Cover!D19</f>
        <v>CDCM charging model - Release for charge setting v6 - 2021/22</v>
      </c>
    </row>
    <row r="4" spans="1:13" customFormat="1" x14ac:dyDescent="0.25">
      <c r="A4" s="12" t="str">
        <f>J58 &amp; IF(J58 = 1, " issue", " issues") &amp;" identified in checks on this sheet"</f>
        <v>0 issues identified in checks on this sheet</v>
      </c>
      <c r="B4" s="13"/>
      <c r="C4" s="13"/>
      <c r="D4" s="13"/>
      <c r="E4" s="13"/>
      <c r="F4" s="13"/>
      <c r="G4" s="13"/>
      <c r="H4" s="14"/>
      <c r="I4" s="14"/>
      <c r="J4" s="13"/>
    </row>
    <row r="5" spans="1:13" x14ac:dyDescent="0.25">
      <c r="A5" s="40"/>
      <c r="B5" s="41" t="s">
        <v>31</v>
      </c>
      <c r="C5" s="41"/>
      <c r="D5" s="41"/>
      <c r="E5" s="41"/>
      <c r="F5" s="41"/>
      <c r="G5" s="42"/>
      <c r="H5" s="42"/>
      <c r="I5" s="42"/>
      <c r="J5" s="42"/>
      <c r="K5" s="42"/>
      <c r="L5" s="41"/>
    </row>
    <row r="6" spans="1:13" x14ac:dyDescent="0.25">
      <c r="A6" s="40"/>
      <c r="B6" s="40"/>
      <c r="C6" s="40"/>
      <c r="D6" s="40"/>
      <c r="E6" s="40"/>
      <c r="F6" s="40"/>
      <c r="G6" s="43"/>
      <c r="H6" s="43"/>
      <c r="I6" s="43"/>
      <c r="J6" s="43"/>
      <c r="K6" s="43"/>
      <c r="L6" s="40"/>
    </row>
    <row r="7" spans="1:13" x14ac:dyDescent="0.25">
      <c r="A7" s="40"/>
      <c r="B7" s="40"/>
      <c r="C7" s="40"/>
      <c r="D7" s="40"/>
      <c r="F7" s="40" t="s">
        <v>32</v>
      </c>
      <c r="H7" s="10">
        <f>LOOKUP(2,1/(F20:F30&lt;&gt;""),F20:F30)</f>
        <v>43495</v>
      </c>
      <c r="I7" s="44"/>
      <c r="J7" s="44"/>
      <c r="K7" s="40"/>
      <c r="L7" s="40"/>
    </row>
    <row r="8" spans="1:13" x14ac:dyDescent="0.25">
      <c r="A8" s="40"/>
      <c r="B8" s="40"/>
      <c r="C8" s="40"/>
      <c r="D8" s="40"/>
      <c r="F8" s="40"/>
      <c r="H8" s="40"/>
      <c r="I8" s="43"/>
      <c r="J8" s="43"/>
      <c r="K8" s="40"/>
      <c r="L8" s="40"/>
    </row>
    <row r="9" spans="1:13" x14ac:dyDescent="0.25">
      <c r="A9" s="40"/>
      <c r="B9" s="40"/>
      <c r="C9" s="40"/>
      <c r="D9" s="40"/>
      <c r="F9" s="40" t="s">
        <v>33</v>
      </c>
      <c r="H9" s="45" t="str">
        <f>LOOKUP(2,1/(G20:G30&lt;&gt;""),G20:G30)</f>
        <v>Release for charge setting</v>
      </c>
      <c r="I9" s="46"/>
      <c r="J9" s="46"/>
      <c r="K9" s="40"/>
      <c r="L9" s="40"/>
    </row>
    <row r="10" spans="1:13" x14ac:dyDescent="0.25">
      <c r="A10" s="40"/>
      <c r="B10" s="40"/>
      <c r="C10" s="40"/>
      <c r="D10" s="40"/>
      <c r="F10" s="40"/>
      <c r="H10" s="40"/>
      <c r="I10" s="40"/>
      <c r="J10" s="40"/>
      <c r="K10" s="40"/>
      <c r="L10" s="40"/>
    </row>
    <row r="11" spans="1:13" x14ac:dyDescent="0.25">
      <c r="A11" s="40"/>
      <c r="B11" s="40"/>
      <c r="C11" s="40"/>
      <c r="D11" s="40"/>
      <c r="F11" s="308" t="s">
        <v>888</v>
      </c>
      <c r="H11" s="45">
        <f>LOOKUP(2,1/(H20:H30&lt;&gt;""),H20:H30)</f>
        <v>6</v>
      </c>
      <c r="I11" s="46"/>
      <c r="J11" s="46"/>
      <c r="K11" s="40"/>
      <c r="L11" s="40"/>
    </row>
    <row r="12" spans="1:13" x14ac:dyDescent="0.25">
      <c r="A12" s="40"/>
      <c r="B12" s="40"/>
      <c r="C12" s="40"/>
      <c r="D12" s="40"/>
      <c r="F12" s="40"/>
      <c r="H12" s="40"/>
      <c r="I12" s="43"/>
      <c r="J12" s="43"/>
      <c r="K12" s="40"/>
      <c r="L12" s="40"/>
    </row>
    <row r="13" spans="1:13" customFormat="1" x14ac:dyDescent="0.25">
      <c r="A13" s="9"/>
      <c r="B13" s="9"/>
      <c r="C13" s="9"/>
      <c r="D13" s="9"/>
      <c r="E13" s="6"/>
      <c r="F13" s="40" t="s">
        <v>34</v>
      </c>
      <c r="H13" s="10" t="str">
        <f>LOOKUP(2,1/(I20:I30&lt;&gt;""),I20:I30)</f>
        <v>01 April 2021 Charging Methodologies Pre-Release – December 2019 (Schedules 15-16-17-18-20-29) (DCPs 268-332-333-341-342-356) (shared 19/12/2019)</v>
      </c>
      <c r="I13" s="11"/>
      <c r="J13" s="11"/>
      <c r="K13" s="11"/>
      <c r="L13" s="9"/>
      <c r="M13" s="9"/>
    </row>
    <row r="14" spans="1:13" customFormat="1" x14ac:dyDescent="0.25">
      <c r="A14" s="9"/>
      <c r="B14" s="9"/>
      <c r="C14" s="9"/>
      <c r="D14" s="9"/>
      <c r="E14" s="6"/>
      <c r="F14" s="9"/>
      <c r="I14" s="11"/>
      <c r="J14" s="11"/>
      <c r="K14" s="11"/>
      <c r="L14" s="9"/>
      <c r="M14" s="9"/>
    </row>
    <row r="15" spans="1:13" x14ac:dyDescent="0.25">
      <c r="A15" s="40"/>
      <c r="B15" s="40"/>
      <c r="C15" s="40"/>
      <c r="D15" s="40"/>
      <c r="F15" s="40" t="s">
        <v>35</v>
      </c>
      <c r="H15" s="45" t="str">
        <f>LOOKUP(2,1/(J20:J30&lt;&gt;""),J20:J30)</f>
        <v>Schedule 16</v>
      </c>
      <c r="I15" s="43"/>
      <c r="J15" s="43"/>
      <c r="K15" s="40"/>
      <c r="L15" s="40"/>
    </row>
    <row r="16" spans="1:13" x14ac:dyDescent="0.25">
      <c r="A16" s="40"/>
      <c r="B16" s="40"/>
      <c r="C16" s="40"/>
      <c r="D16" s="40"/>
      <c r="E16" s="40"/>
      <c r="F16" s="40"/>
      <c r="H16" s="43"/>
      <c r="I16" s="43"/>
      <c r="J16" s="43"/>
      <c r="K16" s="40"/>
      <c r="L16" s="40"/>
    </row>
    <row r="17" spans="1:12" x14ac:dyDescent="0.25">
      <c r="A17" s="40"/>
      <c r="B17" s="41" t="s">
        <v>36</v>
      </c>
      <c r="C17" s="41"/>
      <c r="D17" s="41"/>
      <c r="E17" s="41"/>
      <c r="F17" s="41"/>
      <c r="G17" s="42"/>
      <c r="H17" s="42"/>
      <c r="I17" s="42"/>
      <c r="J17" s="42"/>
      <c r="K17" s="42"/>
      <c r="L17" s="41"/>
    </row>
    <row r="18" spans="1:12" x14ac:dyDescent="0.25">
      <c r="A18" s="40"/>
      <c r="B18" s="40"/>
      <c r="C18" s="40"/>
      <c r="D18" s="40"/>
      <c r="E18" s="40"/>
      <c r="F18" s="40"/>
      <c r="G18" s="43"/>
      <c r="H18" s="40"/>
      <c r="I18" s="40"/>
      <c r="J18" s="40"/>
      <c r="K18" s="40"/>
      <c r="L18" s="40"/>
    </row>
    <row r="19" spans="1:12" x14ac:dyDescent="0.25">
      <c r="A19" s="40"/>
      <c r="B19" s="40"/>
      <c r="C19" s="40"/>
      <c r="D19" s="40"/>
      <c r="E19" s="40"/>
      <c r="F19" s="47" t="s">
        <v>37</v>
      </c>
      <c r="G19" s="48" t="s">
        <v>38</v>
      </c>
      <c r="H19" s="47" t="s">
        <v>885</v>
      </c>
      <c r="I19" s="48" t="s">
        <v>39</v>
      </c>
      <c r="J19" s="48" t="s">
        <v>40</v>
      </c>
      <c r="K19" s="48" t="s">
        <v>41</v>
      </c>
      <c r="L19" s="48" t="s">
        <v>42</v>
      </c>
    </row>
    <row r="20" spans="1:12" ht="30" x14ac:dyDescent="0.25">
      <c r="A20" s="40"/>
      <c r="B20" s="40"/>
      <c r="C20" s="40"/>
      <c r="D20" s="40"/>
      <c r="E20" s="40"/>
      <c r="F20" s="249">
        <v>43250</v>
      </c>
      <c r="G20" s="245" t="s">
        <v>43</v>
      </c>
      <c r="H20" s="245">
        <v>1</v>
      </c>
      <c r="I20" s="245" t="s">
        <v>44</v>
      </c>
      <c r="J20" s="245" t="s">
        <v>45</v>
      </c>
      <c r="K20" s="245" t="s">
        <v>46</v>
      </c>
      <c r="L20" s="245" t="s">
        <v>47</v>
      </c>
    </row>
    <row r="21" spans="1:12" ht="30" x14ac:dyDescent="0.25">
      <c r="A21" s="40"/>
      <c r="B21" s="40"/>
      <c r="C21" s="40"/>
      <c r="D21" s="40"/>
      <c r="E21" s="40"/>
      <c r="F21" s="249">
        <v>43301</v>
      </c>
      <c r="G21" s="245" t="s">
        <v>43</v>
      </c>
      <c r="H21" s="245">
        <v>2</v>
      </c>
      <c r="I21" s="245" t="s">
        <v>48</v>
      </c>
      <c r="J21" s="245" t="s">
        <v>45</v>
      </c>
      <c r="K21" s="245" t="s">
        <v>46</v>
      </c>
      <c r="L21" s="245" t="s">
        <v>49</v>
      </c>
    </row>
    <row r="22" spans="1:12" ht="45" x14ac:dyDescent="0.25">
      <c r="A22" s="40"/>
      <c r="B22" s="40"/>
      <c r="C22" s="40"/>
      <c r="D22" s="40"/>
      <c r="E22" s="40"/>
      <c r="F22" s="249">
        <v>43389</v>
      </c>
      <c r="G22" s="245" t="s">
        <v>886</v>
      </c>
      <c r="H22" s="245">
        <v>3</v>
      </c>
      <c r="I22" s="306" t="s">
        <v>887</v>
      </c>
      <c r="J22" s="306" t="s">
        <v>45</v>
      </c>
      <c r="K22" s="306" t="s">
        <v>46</v>
      </c>
      <c r="L22" s="306" t="s">
        <v>889</v>
      </c>
    </row>
    <row r="23" spans="1:12" ht="60" x14ac:dyDescent="0.25">
      <c r="A23" s="40"/>
      <c r="B23" s="40"/>
      <c r="C23" s="40"/>
      <c r="D23" s="40"/>
      <c r="E23" s="40"/>
      <c r="F23" s="249">
        <v>43663</v>
      </c>
      <c r="G23" s="245" t="s">
        <v>43</v>
      </c>
      <c r="H23" s="245">
        <v>4</v>
      </c>
      <c r="I23" s="245" t="s">
        <v>970</v>
      </c>
      <c r="J23" s="306" t="s">
        <v>45</v>
      </c>
      <c r="K23" s="306" t="s">
        <v>46</v>
      </c>
      <c r="L23" s="245" t="s">
        <v>971</v>
      </c>
    </row>
    <row r="24" spans="1:12" ht="60" x14ac:dyDescent="0.25">
      <c r="A24" s="40"/>
      <c r="B24" s="40"/>
      <c r="C24" s="40"/>
      <c r="D24" s="40"/>
      <c r="E24" s="40"/>
      <c r="F24" s="249">
        <v>43777</v>
      </c>
      <c r="G24" s="245" t="s">
        <v>886</v>
      </c>
      <c r="H24" s="245">
        <v>5</v>
      </c>
      <c r="I24" s="245" t="s">
        <v>1024</v>
      </c>
      <c r="J24" s="245" t="s">
        <v>45</v>
      </c>
      <c r="K24" s="245" t="s">
        <v>46</v>
      </c>
      <c r="L24" s="306" t="s">
        <v>1016</v>
      </c>
    </row>
    <row r="25" spans="1:12" ht="90" x14ac:dyDescent="0.25">
      <c r="A25" s="40"/>
      <c r="B25" s="40"/>
      <c r="C25" s="40"/>
      <c r="D25" s="40"/>
      <c r="E25" s="40"/>
      <c r="F25" s="249">
        <v>43495</v>
      </c>
      <c r="G25" s="245" t="s">
        <v>886</v>
      </c>
      <c r="H25" s="245">
        <v>6</v>
      </c>
      <c r="I25" s="245" t="s">
        <v>1030</v>
      </c>
      <c r="J25" s="245" t="s">
        <v>45</v>
      </c>
      <c r="K25" s="245" t="s">
        <v>46</v>
      </c>
      <c r="L25" s="306" t="s">
        <v>1031</v>
      </c>
    </row>
    <row r="26" spans="1:12" x14ac:dyDescent="0.25">
      <c r="A26" s="40"/>
      <c r="B26" s="40"/>
      <c r="C26" s="40"/>
      <c r="D26" s="40"/>
      <c r="E26" s="40"/>
      <c r="F26" s="249"/>
      <c r="G26" s="245"/>
      <c r="H26" s="245"/>
      <c r="I26" s="245"/>
      <c r="J26" s="245"/>
      <c r="K26" s="245"/>
      <c r="L26" s="245"/>
    </row>
    <row r="27" spans="1:12" x14ac:dyDescent="0.25">
      <c r="A27" s="40"/>
      <c r="B27" s="40"/>
      <c r="C27" s="40"/>
      <c r="D27" s="40"/>
      <c r="E27" s="40"/>
      <c r="F27" s="249"/>
      <c r="G27" s="245"/>
      <c r="H27" s="245"/>
      <c r="I27" s="245"/>
      <c r="J27" s="245"/>
      <c r="K27" s="245"/>
      <c r="L27" s="245"/>
    </row>
    <row r="28" spans="1:12" x14ac:dyDescent="0.25">
      <c r="A28" s="40"/>
      <c r="B28" s="40"/>
      <c r="C28" s="40"/>
      <c r="D28" s="40"/>
      <c r="E28" s="40"/>
      <c r="F28" s="249"/>
      <c r="G28" s="245"/>
      <c r="H28" s="245"/>
      <c r="I28" s="245"/>
      <c r="J28" s="245"/>
      <c r="K28" s="245"/>
      <c r="L28" s="245"/>
    </row>
    <row r="29" spans="1:12" x14ac:dyDescent="0.25">
      <c r="A29" s="40"/>
      <c r="B29" s="40"/>
      <c r="C29" s="40"/>
      <c r="D29" s="40"/>
      <c r="E29" s="40"/>
      <c r="F29" s="249"/>
      <c r="G29" s="245"/>
      <c r="H29" s="245"/>
      <c r="I29" s="245"/>
      <c r="J29" s="245"/>
      <c r="K29" s="245"/>
      <c r="L29" s="245"/>
    </row>
    <row r="31" spans="1:12" x14ac:dyDescent="0.25">
      <c r="B31" s="41" t="s">
        <v>50</v>
      </c>
      <c r="C31" s="41"/>
      <c r="D31" s="41"/>
      <c r="E31" s="41"/>
      <c r="F31" s="41"/>
      <c r="G31" s="42"/>
      <c r="H31" s="42"/>
      <c r="I31" s="42"/>
      <c r="J31" s="42"/>
      <c r="K31" s="42"/>
      <c r="L31" s="41"/>
    </row>
    <row r="33" spans="5:10" x14ac:dyDescent="0.25">
      <c r="E33" s="32" t="s">
        <v>51</v>
      </c>
      <c r="F33" s="49"/>
      <c r="G33" s="50"/>
      <c r="H33" s="50"/>
      <c r="I33" s="50"/>
      <c r="J33" s="50"/>
    </row>
    <row r="34" spans="5:10" x14ac:dyDescent="0.25">
      <c r="F34" s="6" t="s">
        <v>52</v>
      </c>
      <c r="H34" s="247" t="s">
        <v>53</v>
      </c>
      <c r="I34" s="6" t="s">
        <v>54</v>
      </c>
      <c r="J34" s="51">
        <f>'Fixed inputs'!H172</f>
        <v>0</v>
      </c>
    </row>
    <row r="35" spans="5:10" x14ac:dyDescent="0.25">
      <c r="F35" s="6" t="s">
        <v>55</v>
      </c>
      <c r="H35" s="247" t="s">
        <v>56</v>
      </c>
      <c r="I35" s="6" t="s">
        <v>54</v>
      </c>
      <c r="J35" s="51">
        <f>'Inputs by customer type'!H99</f>
        <v>0</v>
      </c>
    </row>
    <row r="36" spans="5:10" x14ac:dyDescent="0.25">
      <c r="F36" s="6" t="s">
        <v>57</v>
      </c>
      <c r="H36" s="247" t="s">
        <v>58</v>
      </c>
      <c r="I36" s="6" t="s">
        <v>54</v>
      </c>
      <c r="J36" s="52">
        <f>'Inputs by network level'!H56</f>
        <v>0</v>
      </c>
    </row>
    <row r="37" spans="5:10" x14ac:dyDescent="0.25">
      <c r="F37" s="6" t="s">
        <v>59</v>
      </c>
      <c r="H37" s="247" t="s">
        <v>60</v>
      </c>
      <c r="I37" s="6" t="s">
        <v>54</v>
      </c>
      <c r="J37" s="51">
        <f>'General inputs'!H114</f>
        <v>0</v>
      </c>
    </row>
    <row r="38" spans="5:10" x14ac:dyDescent="0.25">
      <c r="F38" s="6" t="s">
        <v>61</v>
      </c>
      <c r="H38" s="247" t="s">
        <v>62</v>
      </c>
      <c r="I38" s="6" t="s">
        <v>54</v>
      </c>
      <c r="J38" s="52">
        <f>'Standing charge factors'!H58</f>
        <v>0</v>
      </c>
    </row>
    <row r="39" spans="5:10" x14ac:dyDescent="0.25">
      <c r="F39" s="6" t="s">
        <v>63</v>
      </c>
      <c r="H39" s="247" t="s">
        <v>64</v>
      </c>
      <c r="I39" s="6" t="s">
        <v>54</v>
      </c>
      <c r="J39" s="52">
        <f>'Load &amp; loss characteristics'!H204</f>
        <v>0</v>
      </c>
    </row>
    <row r="40" spans="5:10" x14ac:dyDescent="0.25">
      <c r="F40" s="6" t="s">
        <v>65</v>
      </c>
      <c r="H40" s="247" t="s">
        <v>66</v>
      </c>
      <c r="I40" s="6" t="s">
        <v>54</v>
      </c>
      <c r="J40" s="52">
        <f>'Customer contributions'!H76</f>
        <v>0</v>
      </c>
    </row>
    <row r="41" spans="5:10" x14ac:dyDescent="0.25">
      <c r="F41" s="6" t="s">
        <v>67</v>
      </c>
      <c r="H41" s="247" t="s">
        <v>68</v>
      </c>
      <c r="I41" s="6" t="s">
        <v>54</v>
      </c>
      <c r="J41" s="52">
        <f>'Volume adjustments'!H140</f>
        <v>0</v>
      </c>
    </row>
    <row r="42" spans="5:10" x14ac:dyDescent="0.25">
      <c r="F42" s="6" t="s">
        <v>69</v>
      </c>
      <c r="H42" s="247" t="s">
        <v>70</v>
      </c>
      <c r="I42" s="6" t="s">
        <v>54</v>
      </c>
      <c r="J42" s="52">
        <f>'Pseudo-load coefficients'!H306</f>
        <v>0</v>
      </c>
    </row>
    <row r="43" spans="5:10" x14ac:dyDescent="0.25">
      <c r="F43" s="6" t="s">
        <v>71</v>
      </c>
      <c r="H43" s="247" t="s">
        <v>72</v>
      </c>
      <c r="I43" s="6" t="s">
        <v>54</v>
      </c>
      <c r="J43" s="52">
        <f>'System peak demand'!H281</f>
        <v>0</v>
      </c>
    </row>
    <row r="44" spans="5:10" x14ac:dyDescent="0.25">
      <c r="F44" s="6" t="s">
        <v>73</v>
      </c>
      <c r="H44" s="247" t="s">
        <v>74</v>
      </c>
      <c r="I44" s="6" t="s">
        <v>54</v>
      </c>
      <c r="J44" s="52">
        <f>'Service model assets'!H38</f>
        <v>0</v>
      </c>
    </row>
    <row r="45" spans="5:10" x14ac:dyDescent="0.25">
      <c r="F45" s="6" t="s">
        <v>75</v>
      </c>
      <c r="H45" s="247" t="s">
        <v>76</v>
      </c>
      <c r="I45" s="6" t="s">
        <v>54</v>
      </c>
      <c r="J45" s="52">
        <f>'Unit costs'!H131</f>
        <v>0</v>
      </c>
    </row>
    <row r="46" spans="5:10" x14ac:dyDescent="0.25">
      <c r="F46" s="6" t="s">
        <v>77</v>
      </c>
      <c r="H46" s="247" t="s">
        <v>78</v>
      </c>
      <c r="I46" s="6" t="s">
        <v>54</v>
      </c>
      <c r="J46" s="52">
        <f>'Initial unit rates'!H241</f>
        <v>0</v>
      </c>
    </row>
    <row r="47" spans="5:10" x14ac:dyDescent="0.25">
      <c r="F47" s="6" t="s">
        <v>79</v>
      </c>
      <c r="H47" s="247" t="s">
        <v>80</v>
      </c>
      <c r="I47" s="6" t="s">
        <v>54</v>
      </c>
      <c r="J47" s="52">
        <f>'Service model charges'!H48</f>
        <v>0</v>
      </c>
    </row>
    <row r="48" spans="5:10" x14ac:dyDescent="0.25">
      <c r="F48" s="6" t="s">
        <v>81</v>
      </c>
      <c r="H48" s="247" t="s">
        <v>82</v>
      </c>
      <c r="I48" s="6" t="s">
        <v>54</v>
      </c>
      <c r="J48" s="52">
        <f>'Unit rate charges'!H223</f>
        <v>0</v>
      </c>
    </row>
    <row r="49" spans="2:12" x14ac:dyDescent="0.25">
      <c r="F49" s="6" t="s">
        <v>83</v>
      </c>
      <c r="H49" s="247" t="s">
        <v>84</v>
      </c>
      <c r="I49" s="6" t="s">
        <v>54</v>
      </c>
      <c r="J49" s="52">
        <f>'Reactive power charges'!H254</f>
        <v>0</v>
      </c>
    </row>
    <row r="50" spans="2:12" x14ac:dyDescent="0.25">
      <c r="F50" s="6" t="s">
        <v>85</v>
      </c>
      <c r="H50" s="247" t="s">
        <v>86</v>
      </c>
      <c r="I50" s="6" t="s">
        <v>54</v>
      </c>
      <c r="J50" s="52">
        <f>'Capacity charges'!H295</f>
        <v>0</v>
      </c>
    </row>
    <row r="51" spans="2:12" x14ac:dyDescent="0.25">
      <c r="F51" s="6" t="s">
        <v>87</v>
      </c>
      <c r="H51" s="247" t="s">
        <v>88</v>
      </c>
      <c r="I51" s="6" t="s">
        <v>54</v>
      </c>
      <c r="J51" s="52">
        <f>'Fixed charges'!H165</f>
        <v>0</v>
      </c>
    </row>
    <row r="52" spans="2:12" x14ac:dyDescent="0.25">
      <c r="F52" s="6" t="s">
        <v>89</v>
      </c>
      <c r="H52" s="247" t="s">
        <v>90</v>
      </c>
      <c r="I52" s="6" t="s">
        <v>54</v>
      </c>
      <c r="J52" s="52">
        <f>'Revenue matching'!H162</f>
        <v>0</v>
      </c>
    </row>
    <row r="53" spans="2:12" x14ac:dyDescent="0.25">
      <c r="F53" s="6" t="s">
        <v>999</v>
      </c>
      <c r="H53" s="247" t="s">
        <v>92</v>
      </c>
      <c r="I53" s="6" t="s">
        <v>54</v>
      </c>
      <c r="J53" s="52">
        <f>'Fixed charge adder'!H66</f>
        <v>0</v>
      </c>
    </row>
    <row r="54" spans="2:12" x14ac:dyDescent="0.25">
      <c r="F54" s="6" t="s">
        <v>91</v>
      </c>
      <c r="H54" s="247" t="s">
        <v>94</v>
      </c>
      <c r="I54" s="6" t="s">
        <v>54</v>
      </c>
      <c r="J54" s="52">
        <f>Rounding!H158</f>
        <v>0</v>
      </c>
    </row>
    <row r="55" spans="2:12" x14ac:dyDescent="0.25">
      <c r="F55" s="6" t="s">
        <v>93</v>
      </c>
      <c r="H55" s="247" t="s">
        <v>1000</v>
      </c>
      <c r="I55" s="6" t="s">
        <v>54</v>
      </c>
      <c r="J55" s="51">
        <f>'Net revenue summary'!$H$199</f>
        <v>0</v>
      </c>
    </row>
    <row r="56" spans="2:12" x14ac:dyDescent="0.25">
      <c r="F56" s="6" t="s">
        <v>95</v>
      </c>
      <c r="H56" s="247" t="s">
        <v>96</v>
      </c>
      <c r="I56" s="6" t="s">
        <v>54</v>
      </c>
      <c r="J56" s="52">
        <f>'Tariff summary'!$H$80</f>
        <v>0</v>
      </c>
    </row>
    <row r="57" spans="2:12" x14ac:dyDescent="0.25">
      <c r="F57" s="6" t="s">
        <v>97</v>
      </c>
      <c r="H57" s="247" t="s">
        <v>98</v>
      </c>
      <c r="I57" s="6" t="s">
        <v>54</v>
      </c>
      <c r="J57" s="51">
        <f>'Output to other models'!H78</f>
        <v>0</v>
      </c>
    </row>
    <row r="58" spans="2:12" x14ac:dyDescent="0.25">
      <c r="F58" s="53" t="s">
        <v>99</v>
      </c>
      <c r="G58" s="53"/>
      <c r="H58" s="53"/>
      <c r="I58" s="53" t="s">
        <v>54</v>
      </c>
      <c r="J58" s="54">
        <f>IFERROR(SUM(J34:J57), 1)</f>
        <v>0</v>
      </c>
    </row>
    <row r="60" spans="2:12" x14ac:dyDescent="0.25">
      <c r="B60" s="41" t="s">
        <v>100</v>
      </c>
      <c r="C60" s="41"/>
      <c r="D60" s="41"/>
      <c r="E60" s="41"/>
      <c r="F60" s="41"/>
      <c r="G60" s="42"/>
      <c r="H60" s="42"/>
      <c r="I60" s="42"/>
      <c r="J60" s="42"/>
      <c r="K60" s="42"/>
      <c r="L60" s="41"/>
    </row>
    <row r="62" spans="2:12" x14ac:dyDescent="0.25">
      <c r="F62" s="48" t="s">
        <v>101</v>
      </c>
    </row>
    <row r="63" spans="2:12" x14ac:dyDescent="0.25">
      <c r="F63" s="247" t="s">
        <v>102</v>
      </c>
    </row>
    <row r="64" spans="2:12" x14ac:dyDescent="0.25">
      <c r="F64" s="247" t="s">
        <v>103</v>
      </c>
    </row>
    <row r="65" spans="2:12" x14ac:dyDescent="0.25">
      <c r="F65" s="247" t="s">
        <v>43</v>
      </c>
    </row>
    <row r="66" spans="2:12" ht="30" x14ac:dyDescent="0.25">
      <c r="F66" s="307" t="s">
        <v>886</v>
      </c>
    </row>
    <row r="67" spans="2:12" x14ac:dyDescent="0.25">
      <c r="F67" s="247"/>
    </row>
    <row r="68" spans="2:12" x14ac:dyDescent="0.25">
      <c r="F68" s="247"/>
    </row>
    <row r="69" spans="2:12" x14ac:dyDescent="0.25">
      <c r="F69" s="247"/>
    </row>
    <row r="70" spans="2:12" x14ac:dyDescent="0.25">
      <c r="F70" s="247"/>
    </row>
    <row r="71" spans="2:12" x14ac:dyDescent="0.25">
      <c r="F71" s="247"/>
    </row>
    <row r="72" spans="2:12" x14ac:dyDescent="0.25">
      <c r="F72" s="247"/>
    </row>
    <row r="73" spans="2:12" x14ac:dyDescent="0.25">
      <c r="F73" s="247" t="s">
        <v>104</v>
      </c>
    </row>
    <row r="75" spans="2:12" x14ac:dyDescent="0.25">
      <c r="B75" s="41" t="s">
        <v>105</v>
      </c>
      <c r="C75" s="41"/>
      <c r="D75" s="41"/>
      <c r="E75" s="41"/>
      <c r="F75" s="41"/>
      <c r="G75" s="42"/>
      <c r="H75" s="42"/>
      <c r="I75" s="42"/>
      <c r="J75" s="42"/>
      <c r="K75" s="42"/>
      <c r="L75" s="41"/>
    </row>
  </sheetData>
  <sheetProtection sheet="1" objects="1" formatCells="0" formatColumns="0" formatRows="0" sort="0" autoFilter="0"/>
  <dataConsolidate/>
  <phoneticPr fontId="39" type="noConversion"/>
  <conditionalFormatting sqref="J34:J58">
    <cfRule type="cellIs" dxfId="254" priority="2" operator="greaterThan">
      <formula>0</formula>
    </cfRule>
  </conditionalFormatting>
  <conditionalFormatting sqref="A4:XFD4">
    <cfRule type="expression" dxfId="253" priority="1">
      <formula>LEFT($A$4,1) &lt;&gt; "0"</formula>
    </cfRule>
  </conditionalFormatting>
  <dataValidations count="3">
    <dataValidation type="whole" operator="greaterThan" allowBlank="1" showInputMessage="1" showErrorMessage="1" errorTitle="Stage model version" error="A positive integer value has not been selected" promptTitle="Stage model version" prompt="Input must be an integer. The value should return to 1 when a new development stage is reached." sqref="H20:H29" xr:uid="{00000000-0002-0000-0100-000000000000}">
      <formula1>0</formula1>
    </dataValidation>
    <dataValidation type="date" operator="greaterThan" allowBlank="1" showInputMessage="1" showErrorMessage="1" promptTitle="Model date" prompt="Input a date" sqref="F20:F29" xr:uid="{00000000-0002-0000-0100-000001000000}">
      <formula1>43028</formula1>
    </dataValidation>
    <dataValidation type="list" allowBlank="1" showInputMessage="1" showErrorMessage="1" errorTitle="Development stage" error="Selection is not consistent with the list of options specified below" promptTitle="Development stage" prompt="Select from the list of options" sqref="G20:G29" xr:uid="{00000000-0002-0000-0100-000002000000}">
      <formula1>$F$63:$F$73</formula1>
    </dataValidation>
  </dataValidations>
  <hyperlinks>
    <hyperlink ref="I63" location="'Cover'!A1" display="Cover" xr:uid="{00000000-0004-0000-0100-000000000000}"/>
    <hyperlink ref="I64" location="'Version control'!A1" display="Version control" xr:uid="{00000000-0004-0000-0100-000001000000}"/>
    <hyperlink ref="I73" location="'Model map'!A1" display="Model map" xr:uid="{00000000-0004-0000-0100-000002000000}"/>
    <hyperlink ref="I74" location="'Inputs &gt;&gt;'!A1" display="Inputs &gt;&gt;" xr:uid="{00000000-0004-0000-0100-000003000000}"/>
  </hyperlink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tabColor theme="4" tint="0.59999389629810485"/>
    <pageSetUpPr fitToPage="1"/>
  </sheetPr>
  <dimension ref="A1:LC261"/>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8" width="17" customWidth="1"/>
    <col min="29" max="29" width="2.42578125" customWidth="1"/>
    <col min="30" max="30" width="50.5703125" customWidth="1"/>
    <col min="31" max="31" width="2.42578125" customWidth="1"/>
    <col min="32" max="32" width="24.5703125" hidden="1" customWidth="1"/>
    <col min="33" max="33" width="3.5703125" hidden="1" customWidth="1"/>
    <col min="34" max="34" width="15.42578125" hidden="1" customWidth="1"/>
    <col min="35" max="315" width="24.5703125" hidden="1" customWidth="1"/>
    <col min="316" max="16384" width="8.5703125" hidden="1"/>
  </cols>
  <sheetData>
    <row r="1" spans="1:30" s="1" customFormat="1" x14ac:dyDescent="0.25">
      <c r="A1" s="1" t="str">
        <f ca="1">MID(CELL("filename",A1),FIND("]",CELL("filename",A1))+1,255)</f>
        <v>Unit rate charges</v>
      </c>
    </row>
    <row r="2" spans="1:30" s="1" customFormat="1" x14ac:dyDescent="0.25">
      <c r="A2" s="1" t="str">
        <f>Cover!D21&amp;" - "&amp;Cover!D23</f>
        <v>SP Distribution - Two</v>
      </c>
    </row>
    <row r="3" spans="1:30" s="5" customFormat="1" x14ac:dyDescent="0.25">
      <c r="A3" s="5" t="str">
        <f>Cover!D2&amp;" - "&amp;Cover!D8&amp;" v"&amp;Cover!D10&amp;" - "&amp;Cover!D19</f>
        <v>CDCM charging model - Release for charge setting v6 - 2021/22</v>
      </c>
    </row>
    <row r="4" spans="1:30" x14ac:dyDescent="0.25">
      <c r="A4" s="12" t="str">
        <f>H223 &amp; IF(H223 = 1, " issue", " issues") &amp;" identified in checks on this sheet"</f>
        <v>0 issues identified in checks on this sheet</v>
      </c>
      <c r="B4" s="13"/>
      <c r="C4" s="13"/>
      <c r="D4" s="13"/>
      <c r="E4" s="13"/>
      <c r="F4" s="13"/>
      <c r="G4" s="13"/>
      <c r="H4" s="14"/>
      <c r="I4" s="14"/>
    </row>
    <row r="5" spans="1:30" ht="60" x14ac:dyDescent="0.25">
      <c r="B5" s="59" t="s">
        <v>141</v>
      </c>
      <c r="C5" s="60"/>
      <c r="D5" s="60"/>
      <c r="E5" s="60"/>
      <c r="F5" s="60"/>
      <c r="G5" s="61" t="s">
        <v>142</v>
      </c>
      <c r="H5" s="62" t="s">
        <v>143</v>
      </c>
      <c r="I5" s="14"/>
      <c r="J5" s="62" t="s">
        <v>893</v>
      </c>
      <c r="K5" s="62" t="s">
        <v>895</v>
      </c>
      <c r="L5" s="62" t="s">
        <v>894</v>
      </c>
      <c r="M5" s="62" t="s">
        <v>896</v>
      </c>
      <c r="N5" s="62" t="s">
        <v>902</v>
      </c>
      <c r="O5" s="62" t="s">
        <v>903</v>
      </c>
      <c r="P5" s="62" t="s">
        <v>904</v>
      </c>
      <c r="Q5" s="62" t="s">
        <v>1027</v>
      </c>
      <c r="R5" s="62" t="s">
        <v>1028</v>
      </c>
      <c r="S5" s="62" t="s">
        <v>1029</v>
      </c>
      <c r="T5" s="62" t="s">
        <v>905</v>
      </c>
      <c r="U5" s="62" t="s">
        <v>897</v>
      </c>
      <c r="V5" s="62" t="s">
        <v>898</v>
      </c>
      <c r="W5" s="62" t="s">
        <v>899</v>
      </c>
      <c r="X5" s="62" t="s">
        <v>908</v>
      </c>
      <c r="Y5" s="62" t="s">
        <v>900</v>
      </c>
      <c r="Z5" s="62" t="s">
        <v>907</v>
      </c>
      <c r="AA5" s="62" t="s">
        <v>901</v>
      </c>
      <c r="AB5" s="62" t="s">
        <v>906</v>
      </c>
      <c r="AD5" s="61" t="s">
        <v>144</v>
      </c>
    </row>
    <row r="7" spans="1:30" x14ac:dyDescent="0.25">
      <c r="B7" s="30" t="s">
        <v>9</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row>
    <row r="9" spans="1:30" x14ac:dyDescent="0.25">
      <c r="C9" s="29" t="s">
        <v>646</v>
      </c>
      <c r="D9"/>
    </row>
    <row r="10" spans="1:30" x14ac:dyDescent="0.25">
      <c r="C10" s="29" t="s">
        <v>647</v>
      </c>
      <c r="D10"/>
      <c r="E10"/>
    </row>
    <row r="11" spans="1:30" x14ac:dyDescent="0.25">
      <c r="C11" s="29" t="s">
        <v>648</v>
      </c>
      <c r="D11"/>
      <c r="E11"/>
    </row>
    <row r="12" spans="1:30" x14ac:dyDescent="0.25">
      <c r="C12" s="29" t="s">
        <v>649</v>
      </c>
    </row>
    <row r="13" spans="1:30" x14ac:dyDescent="0.25">
      <c r="C13" s="29" t="s">
        <v>650</v>
      </c>
      <c r="D13"/>
    </row>
    <row r="15" spans="1:30" x14ac:dyDescent="0.25">
      <c r="B15" s="30" t="s">
        <v>651</v>
      </c>
      <c r="C15" s="30"/>
      <c r="D15" s="30"/>
      <c r="E15" s="30"/>
      <c r="F15" s="30"/>
      <c r="G15" s="30"/>
      <c r="H15" s="30"/>
      <c r="I15" s="30"/>
      <c r="J15" s="30"/>
      <c r="K15" s="30"/>
      <c r="L15" s="30"/>
      <c r="M15" s="30"/>
      <c r="N15" s="30"/>
      <c r="O15" s="30"/>
      <c r="P15" s="30"/>
      <c r="Q15" s="30"/>
      <c r="R15" s="30"/>
      <c r="S15" s="30"/>
      <c r="T15" s="30"/>
      <c r="U15" s="30"/>
      <c r="V15" s="30"/>
      <c r="W15" s="30"/>
      <c r="X15" s="30"/>
      <c r="Y15" s="30"/>
      <c r="Z15" s="30"/>
      <c r="AA15" s="30"/>
      <c r="AB15" s="30"/>
      <c r="AC15" s="30"/>
      <c r="AD15" s="30"/>
    </row>
    <row r="17" spans="3:30" x14ac:dyDescent="0.25">
      <c r="C17" s="29" t="s">
        <v>652</v>
      </c>
    </row>
    <row r="19" spans="3:30" x14ac:dyDescent="0.25">
      <c r="C19" s="31" t="str">
        <f ca="1">INDEX('Version control'!$H$34:$H$57,MATCH($A$1,'Version control'!$F$34:$F$57,0),1)&amp;"-A: Initial unit rate 1"</f>
        <v>Section 111-A: Initial unit rate 1</v>
      </c>
      <c r="D19" s="31"/>
      <c r="E19" s="31"/>
      <c r="F19" s="31"/>
      <c r="G19" s="31"/>
      <c r="H19" s="31"/>
      <c r="I19" s="31"/>
      <c r="J19" s="31"/>
      <c r="K19" s="31"/>
      <c r="L19" s="31"/>
      <c r="M19" s="31"/>
      <c r="N19" s="31"/>
      <c r="O19" s="31"/>
      <c r="P19" s="31"/>
      <c r="Q19" s="31"/>
      <c r="R19" s="31"/>
      <c r="S19" s="31"/>
      <c r="T19" s="31"/>
      <c r="U19" s="31"/>
      <c r="V19" s="31"/>
      <c r="W19" s="31"/>
      <c r="X19" s="31"/>
      <c r="Y19" s="31"/>
      <c r="Z19" s="31"/>
      <c r="AA19" s="31"/>
      <c r="AB19" s="31"/>
      <c r="AC19" s="31"/>
      <c r="AD19" s="31"/>
    </row>
    <row r="20" spans="3:30" x14ac:dyDescent="0.25">
      <c r="C20" s="32"/>
      <c r="D20"/>
      <c r="E20" s="32"/>
    </row>
    <row r="21" spans="3:30" x14ac:dyDescent="0.25">
      <c r="D21"/>
      <c r="E21" s="32" t="s">
        <v>620</v>
      </c>
    </row>
    <row r="22" spans="3:30" x14ac:dyDescent="0.25">
      <c r="D22"/>
      <c r="F22" s="23" t="s">
        <v>188</v>
      </c>
      <c r="G22" s="23" t="s">
        <v>268</v>
      </c>
      <c r="H22" s="269"/>
      <c r="I22" s="269"/>
      <c r="J22" s="285">
        <f>'Initial unit rates'!J152</f>
        <v>0</v>
      </c>
      <c r="K22" s="285">
        <f>'Initial unit rates'!K152</f>
        <v>0</v>
      </c>
      <c r="L22" s="285">
        <f>'Initial unit rates'!L152</f>
        <v>0</v>
      </c>
      <c r="M22" s="285">
        <f>'Initial unit rates'!M152</f>
        <v>0</v>
      </c>
      <c r="N22" s="285">
        <f>'Initial unit rates'!N152</f>
        <v>0</v>
      </c>
      <c r="O22" s="285">
        <f>'Initial unit rates'!O152</f>
        <v>0</v>
      </c>
      <c r="P22" s="285">
        <f>'Initial unit rates'!P152</f>
        <v>0</v>
      </c>
      <c r="Q22" s="285">
        <f>'Initial unit rates'!Q152</f>
        <v>0</v>
      </c>
      <c r="R22" s="285">
        <f>'Initial unit rates'!R152</f>
        <v>0</v>
      </c>
      <c r="S22" s="285">
        <f>'Initial unit rates'!S152</f>
        <v>0</v>
      </c>
      <c r="T22" s="285">
        <f>'Initial unit rates'!T152</f>
        <v>0</v>
      </c>
      <c r="U22" s="285">
        <f>'Initial unit rates'!U152</f>
        <v>0</v>
      </c>
      <c r="V22" s="285">
        <f>'Initial unit rates'!V152</f>
        <v>0</v>
      </c>
      <c r="W22" s="285">
        <f>'Initial unit rates'!W152</f>
        <v>0</v>
      </c>
      <c r="X22" s="285">
        <f>'Initial unit rates'!X152</f>
        <v>0</v>
      </c>
      <c r="Y22" s="285">
        <f>'Initial unit rates'!Y152</f>
        <v>0</v>
      </c>
      <c r="Z22" s="285">
        <f>'Initial unit rates'!Z152</f>
        <v>0</v>
      </c>
      <c r="AA22" s="285">
        <f>'Initial unit rates'!AA152</f>
        <v>0</v>
      </c>
      <c r="AB22" s="285">
        <f>'Initial unit rates'!AB152</f>
        <v>0</v>
      </c>
      <c r="AC22" s="271"/>
      <c r="AD22" s="271"/>
    </row>
    <row r="23" spans="3:30" x14ac:dyDescent="0.25">
      <c r="D23"/>
      <c r="F23" t="s">
        <v>190</v>
      </c>
      <c r="G23" t="s">
        <v>268</v>
      </c>
      <c r="H23" s="271"/>
      <c r="I23" s="271"/>
      <c r="J23" s="286">
        <f>'Initial unit rates'!J153</f>
        <v>0</v>
      </c>
      <c r="K23" s="286">
        <f>'Initial unit rates'!K153</f>
        <v>0</v>
      </c>
      <c r="L23" s="286">
        <f>'Initial unit rates'!L153</f>
        <v>0</v>
      </c>
      <c r="M23" s="286">
        <f>'Initial unit rates'!M153</f>
        <v>0</v>
      </c>
      <c r="N23" s="286">
        <f>'Initial unit rates'!N153</f>
        <v>0</v>
      </c>
      <c r="O23" s="286">
        <f>'Initial unit rates'!O153</f>
        <v>0</v>
      </c>
      <c r="P23" s="286">
        <f>'Initial unit rates'!P153</f>
        <v>0</v>
      </c>
      <c r="Q23" s="286">
        <f>'Initial unit rates'!Q153</f>
        <v>0</v>
      </c>
      <c r="R23" s="286">
        <f>'Initial unit rates'!R153</f>
        <v>0</v>
      </c>
      <c r="S23" s="286">
        <f>'Initial unit rates'!S153</f>
        <v>0</v>
      </c>
      <c r="T23" s="286">
        <f>'Initial unit rates'!T153</f>
        <v>0</v>
      </c>
      <c r="U23" s="286">
        <f>'Initial unit rates'!U153</f>
        <v>0</v>
      </c>
      <c r="V23" s="286">
        <f>'Initial unit rates'!V153</f>
        <v>0</v>
      </c>
      <c r="W23" s="286">
        <f>'Initial unit rates'!W153</f>
        <v>0</v>
      </c>
      <c r="X23" s="286">
        <f>'Initial unit rates'!X153</f>
        <v>0</v>
      </c>
      <c r="Y23" s="286">
        <f>'Initial unit rates'!Y153</f>
        <v>0</v>
      </c>
      <c r="Z23" s="286">
        <f>'Initial unit rates'!Z153</f>
        <v>0</v>
      </c>
      <c r="AA23" s="286">
        <f>'Initial unit rates'!AA153</f>
        <v>0</v>
      </c>
      <c r="AB23" s="286">
        <f>'Initial unit rates'!AB153</f>
        <v>0</v>
      </c>
      <c r="AC23" s="271"/>
      <c r="AD23" s="271"/>
    </row>
    <row r="24" spans="3:30" x14ac:dyDescent="0.25">
      <c r="D24"/>
      <c r="F24" t="s">
        <v>191</v>
      </c>
      <c r="G24" t="s">
        <v>268</v>
      </c>
      <c r="H24" s="271"/>
      <c r="I24" s="271"/>
      <c r="J24" s="286">
        <f>'Initial unit rates'!J154</f>
        <v>0</v>
      </c>
      <c r="K24" s="286">
        <f>'Initial unit rates'!K154</f>
        <v>0</v>
      </c>
      <c r="L24" s="286">
        <f>'Initial unit rates'!L154</f>
        <v>0</v>
      </c>
      <c r="M24" s="286">
        <f>'Initial unit rates'!M154</f>
        <v>0</v>
      </c>
      <c r="N24" s="286">
        <f>'Initial unit rates'!N154</f>
        <v>0</v>
      </c>
      <c r="O24" s="286">
        <f>'Initial unit rates'!O154</f>
        <v>0</v>
      </c>
      <c r="P24" s="286">
        <f>'Initial unit rates'!P154</f>
        <v>0</v>
      </c>
      <c r="Q24" s="286">
        <f>'Initial unit rates'!Q154</f>
        <v>0</v>
      </c>
      <c r="R24" s="286">
        <f>'Initial unit rates'!R154</f>
        <v>0</v>
      </c>
      <c r="S24" s="286">
        <f>'Initial unit rates'!S154</f>
        <v>0</v>
      </c>
      <c r="T24" s="286">
        <f>'Initial unit rates'!T154</f>
        <v>0</v>
      </c>
      <c r="U24" s="286">
        <f>'Initial unit rates'!U154</f>
        <v>0</v>
      </c>
      <c r="V24" s="286">
        <f>'Initial unit rates'!V154</f>
        <v>0</v>
      </c>
      <c r="W24" s="286">
        <f>'Initial unit rates'!W154</f>
        <v>0</v>
      </c>
      <c r="X24" s="286">
        <f>'Initial unit rates'!X154</f>
        <v>0</v>
      </c>
      <c r="Y24" s="286">
        <f>'Initial unit rates'!Y154</f>
        <v>0</v>
      </c>
      <c r="Z24" s="286">
        <f>'Initial unit rates'!Z154</f>
        <v>0</v>
      </c>
      <c r="AA24" s="286">
        <f>'Initial unit rates'!AA154</f>
        <v>0</v>
      </c>
      <c r="AB24" s="286">
        <f>'Initial unit rates'!AB154</f>
        <v>0</v>
      </c>
      <c r="AC24" s="271"/>
      <c r="AD24" s="271"/>
    </row>
    <row r="25" spans="3:30" x14ac:dyDescent="0.25">
      <c r="D25"/>
      <c r="F25" t="s">
        <v>192</v>
      </c>
      <c r="G25" t="s">
        <v>268</v>
      </c>
      <c r="H25" s="271"/>
      <c r="I25" s="271"/>
      <c r="J25" s="286">
        <f>'Initial unit rates'!J155</f>
        <v>0</v>
      </c>
      <c r="K25" s="286">
        <f>'Initial unit rates'!K155</f>
        <v>0</v>
      </c>
      <c r="L25" s="286">
        <f>'Initial unit rates'!L155</f>
        <v>0</v>
      </c>
      <c r="M25" s="286">
        <f>'Initial unit rates'!M155</f>
        <v>0</v>
      </c>
      <c r="N25" s="286">
        <f>'Initial unit rates'!N155</f>
        <v>0</v>
      </c>
      <c r="O25" s="286">
        <f>'Initial unit rates'!O155</f>
        <v>0</v>
      </c>
      <c r="P25" s="286">
        <f>'Initial unit rates'!P155</f>
        <v>0</v>
      </c>
      <c r="Q25" s="286">
        <f>'Initial unit rates'!Q155</f>
        <v>0</v>
      </c>
      <c r="R25" s="286">
        <f>'Initial unit rates'!R155</f>
        <v>0</v>
      </c>
      <c r="S25" s="286">
        <f>'Initial unit rates'!S155</f>
        <v>0</v>
      </c>
      <c r="T25" s="286">
        <f>'Initial unit rates'!T155</f>
        <v>0</v>
      </c>
      <c r="U25" s="286">
        <f>'Initial unit rates'!U155</f>
        <v>0</v>
      </c>
      <c r="V25" s="286">
        <f>'Initial unit rates'!V155</f>
        <v>0</v>
      </c>
      <c r="W25" s="286">
        <f>'Initial unit rates'!W155</f>
        <v>0</v>
      </c>
      <c r="X25" s="286">
        <f>'Initial unit rates'!X155</f>
        <v>0</v>
      </c>
      <c r="Y25" s="286">
        <f>'Initial unit rates'!Y155</f>
        <v>0</v>
      </c>
      <c r="Z25" s="286">
        <f>'Initial unit rates'!Z155</f>
        <v>0</v>
      </c>
      <c r="AA25" s="286">
        <f>'Initial unit rates'!AA155</f>
        <v>0</v>
      </c>
      <c r="AB25" s="286">
        <f>'Initial unit rates'!AB155</f>
        <v>0</v>
      </c>
      <c r="AC25" s="271"/>
      <c r="AD25" s="271"/>
    </row>
    <row r="26" spans="3:30" x14ac:dyDescent="0.25">
      <c r="D26"/>
      <c r="F26" t="s">
        <v>193</v>
      </c>
      <c r="G26" t="s">
        <v>268</v>
      </c>
      <c r="H26" s="271"/>
      <c r="I26" s="271"/>
      <c r="J26" s="286">
        <f>'Initial unit rates'!J156</f>
        <v>1.7958309065063878</v>
      </c>
      <c r="K26" s="286">
        <f>'Initial unit rates'!K156</f>
        <v>1.7958309065063878</v>
      </c>
      <c r="L26" s="286">
        <f>'Initial unit rates'!L156</f>
        <v>2.0858666866723046</v>
      </c>
      <c r="M26" s="286">
        <f>'Initial unit rates'!M156</f>
        <v>2.0858666866723046</v>
      </c>
      <c r="N26" s="286">
        <f>'Initial unit rates'!N156</f>
        <v>1.612431896562593</v>
      </c>
      <c r="O26" s="286">
        <f>'Initial unit rates'!O156</f>
        <v>1.3114528318518921</v>
      </c>
      <c r="P26" s="286">
        <f>'Initial unit rates'!P156</f>
        <v>1.267502927171626</v>
      </c>
      <c r="Q26" s="286">
        <f>'Initial unit rates'!Q156</f>
        <v>1.612431896562593</v>
      </c>
      <c r="R26" s="286">
        <f>'Initial unit rates'!R156</f>
        <v>1.3114528318518921</v>
      </c>
      <c r="S26" s="286">
        <f>'Initial unit rates'!S156</f>
        <v>1.267502927171626</v>
      </c>
      <c r="T26" s="286">
        <f>'Initial unit rates'!T156</f>
        <v>3.8982206606005354</v>
      </c>
      <c r="U26" s="286">
        <f>'Initial unit rates'!U156</f>
        <v>-1.2842072914547749</v>
      </c>
      <c r="V26" s="286">
        <f>'Initial unit rates'!V156</f>
        <v>-1.2210495558094581</v>
      </c>
      <c r="W26" s="286">
        <f>'Initial unit rates'!W156</f>
        <v>-1.2842072914547749</v>
      </c>
      <c r="X26" s="286">
        <f>'Initial unit rates'!X156</f>
        <v>-1.2842072914547749</v>
      </c>
      <c r="Y26" s="286">
        <f>'Initial unit rates'!Y156</f>
        <v>-1.2210495558094581</v>
      </c>
      <c r="Z26" s="286">
        <f>'Initial unit rates'!Z156</f>
        <v>-1.2210495558094581</v>
      </c>
      <c r="AA26" s="286">
        <f>'Initial unit rates'!AA156</f>
        <v>-1.1626764971069683</v>
      </c>
      <c r="AB26" s="286">
        <f>'Initial unit rates'!AB156</f>
        <v>-1.1626764971069683</v>
      </c>
      <c r="AC26" s="271"/>
      <c r="AD26" s="271"/>
    </row>
    <row r="27" spans="3:30" x14ac:dyDescent="0.25">
      <c r="D27"/>
      <c r="F27" t="s">
        <v>194</v>
      </c>
      <c r="G27" t="s">
        <v>268</v>
      </c>
      <c r="H27" s="271"/>
      <c r="I27" s="271"/>
      <c r="J27" s="286">
        <f>'Initial unit rates'!J157</f>
        <v>0.40311898458711498</v>
      </c>
      <c r="K27" s="286">
        <f>'Initial unit rates'!K157</f>
        <v>0.40311898458711498</v>
      </c>
      <c r="L27" s="286">
        <f>'Initial unit rates'!L157</f>
        <v>0.46822474079768722</v>
      </c>
      <c r="M27" s="286">
        <f>'Initial unit rates'!M157</f>
        <v>0.46822474079768722</v>
      </c>
      <c r="N27" s="286">
        <f>'Initial unit rates'!N157</f>
        <v>0.36195050798112338</v>
      </c>
      <c r="O27" s="286">
        <f>'Initial unit rates'!O157</f>
        <v>0.29438825893608744</v>
      </c>
      <c r="P27" s="286">
        <f>'Initial unit rates'!P157</f>
        <v>0.2519203606932246</v>
      </c>
      <c r="Q27" s="286">
        <f>'Initial unit rates'!Q157</f>
        <v>0.36195050798112338</v>
      </c>
      <c r="R27" s="286">
        <f>'Initial unit rates'!R157</f>
        <v>0.29438825893608744</v>
      </c>
      <c r="S27" s="286">
        <f>'Initial unit rates'!S157</f>
        <v>0.2519203606932246</v>
      </c>
      <c r="T27" s="286">
        <f>'Initial unit rates'!T157</f>
        <v>0.90142027187854401</v>
      </c>
      <c r="U27" s="286">
        <f>'Initial unit rates'!U157</f>
        <v>-0.28827231865483915</v>
      </c>
      <c r="V27" s="286">
        <f>'Initial unit rates'!V157</f>
        <v>-0.27409499150787986</v>
      </c>
      <c r="W27" s="286">
        <f>'Initial unit rates'!W157</f>
        <v>-0.28827231865483915</v>
      </c>
      <c r="X27" s="286">
        <f>'Initial unit rates'!X157</f>
        <v>-0.28827231865483915</v>
      </c>
      <c r="Y27" s="286">
        <f>'Initial unit rates'!Y157</f>
        <v>-0.27409499150787986</v>
      </c>
      <c r="Z27" s="286">
        <f>'Initial unit rates'!Z157</f>
        <v>-0.27409499150787986</v>
      </c>
      <c r="AA27" s="286">
        <f>'Initial unit rates'!AA157</f>
        <v>-0.23108576417596077</v>
      </c>
      <c r="AB27" s="286">
        <f>'Initial unit rates'!AB157</f>
        <v>-0.23108576417596077</v>
      </c>
      <c r="AC27" s="271"/>
      <c r="AD27" s="271"/>
    </row>
    <row r="28" spans="3:30" x14ac:dyDescent="0.25">
      <c r="D28"/>
      <c r="F28" t="s">
        <v>195</v>
      </c>
      <c r="G28" t="s">
        <v>268</v>
      </c>
      <c r="H28" s="271"/>
      <c r="I28" s="271"/>
      <c r="J28" s="286">
        <f>'Initial unit rates'!J158</f>
        <v>0</v>
      </c>
      <c r="K28" s="286">
        <f>'Initial unit rates'!K158</f>
        <v>0</v>
      </c>
      <c r="L28" s="286">
        <f>'Initial unit rates'!L158</f>
        <v>0</v>
      </c>
      <c r="M28" s="286">
        <f>'Initial unit rates'!M158</f>
        <v>0</v>
      </c>
      <c r="N28" s="286">
        <f>'Initial unit rates'!N158</f>
        <v>0</v>
      </c>
      <c r="O28" s="286">
        <f>'Initial unit rates'!O158</f>
        <v>0</v>
      </c>
      <c r="P28" s="286">
        <f>'Initial unit rates'!P158</f>
        <v>0</v>
      </c>
      <c r="Q28" s="286">
        <f>'Initial unit rates'!Q158</f>
        <v>0</v>
      </c>
      <c r="R28" s="286">
        <f>'Initial unit rates'!R158</f>
        <v>0</v>
      </c>
      <c r="S28" s="286">
        <f>'Initial unit rates'!S158</f>
        <v>0</v>
      </c>
      <c r="T28" s="286">
        <f>'Initial unit rates'!T158</f>
        <v>0</v>
      </c>
      <c r="U28" s="286">
        <f>'Initial unit rates'!U158</f>
        <v>0</v>
      </c>
      <c r="V28" s="286">
        <f>'Initial unit rates'!V158</f>
        <v>0</v>
      </c>
      <c r="W28" s="286">
        <f>'Initial unit rates'!W158</f>
        <v>0</v>
      </c>
      <c r="X28" s="286">
        <f>'Initial unit rates'!X158</f>
        <v>0</v>
      </c>
      <c r="Y28" s="286">
        <f>'Initial unit rates'!Y158</f>
        <v>0</v>
      </c>
      <c r="Z28" s="286">
        <f>'Initial unit rates'!Z158</f>
        <v>0</v>
      </c>
      <c r="AA28" s="286">
        <f>'Initial unit rates'!AA158</f>
        <v>0</v>
      </c>
      <c r="AB28" s="286">
        <f>'Initial unit rates'!AB158</f>
        <v>0</v>
      </c>
      <c r="AC28" s="271"/>
      <c r="AD28" s="271"/>
    </row>
    <row r="29" spans="3:30" x14ac:dyDescent="0.25">
      <c r="D29"/>
      <c r="F29" t="s">
        <v>196</v>
      </c>
      <c r="G29" t="s">
        <v>268</v>
      </c>
      <c r="H29" s="271"/>
      <c r="I29" s="271"/>
      <c r="J29" s="286">
        <f>'Initial unit rates'!J159</f>
        <v>1.3862526519345733</v>
      </c>
      <c r="K29" s="286">
        <f>'Initial unit rates'!K159</f>
        <v>1.3862526519345733</v>
      </c>
      <c r="L29" s="286">
        <f>'Initial unit rates'!L159</f>
        <v>1.6101394710967898</v>
      </c>
      <c r="M29" s="286">
        <f>'Initial unit rates'!M159</f>
        <v>1.6101394710967898</v>
      </c>
      <c r="N29" s="286">
        <f>'Initial unit rates'!N159</f>
        <v>1.2446817707476834</v>
      </c>
      <c r="O29" s="286">
        <f>'Initial unit rates'!O159</f>
        <v>1.0123475208356565</v>
      </c>
      <c r="P29" s="286">
        <f>'Initial unit rates'!P159</f>
        <v>0.69296942312551713</v>
      </c>
      <c r="Q29" s="286">
        <f>'Initial unit rates'!Q159</f>
        <v>1.2446817707476834</v>
      </c>
      <c r="R29" s="286">
        <f>'Initial unit rates'!R159</f>
        <v>1.0123475208356565</v>
      </c>
      <c r="S29" s="286">
        <f>'Initial unit rates'!S159</f>
        <v>0.69296942312551713</v>
      </c>
      <c r="T29" s="286">
        <f>'Initial unit rates'!T159</f>
        <v>3.0998198799272254</v>
      </c>
      <c r="U29" s="286">
        <f>'Initial unit rates'!U159</f>
        <v>-0.99131591786454487</v>
      </c>
      <c r="V29" s="286">
        <f>'Initial unit rates'!V159</f>
        <v>-0.94256267600235399</v>
      </c>
      <c r="W29" s="286">
        <f>'Initial unit rates'!W159</f>
        <v>-0.99131591786454487</v>
      </c>
      <c r="X29" s="286">
        <f>'Initial unit rates'!X159</f>
        <v>-0.99131591786454487</v>
      </c>
      <c r="Y29" s="286">
        <f>'Initial unit rates'!Y159</f>
        <v>-0.94256267600235399</v>
      </c>
      <c r="Z29" s="286">
        <f>'Initial unit rates'!Z159</f>
        <v>-0.94256267600235399</v>
      </c>
      <c r="AA29" s="286">
        <f>'Initial unit rates'!AA159</f>
        <v>0</v>
      </c>
      <c r="AB29" s="286">
        <f>'Initial unit rates'!AB159</f>
        <v>0</v>
      </c>
      <c r="AC29" s="271"/>
      <c r="AD29" s="271"/>
    </row>
    <row r="30" spans="3:30" x14ac:dyDescent="0.25">
      <c r="D30"/>
      <c r="F30" t="s">
        <v>197</v>
      </c>
      <c r="G30" t="s">
        <v>268</v>
      </c>
      <c r="H30" s="271"/>
      <c r="I30" s="271"/>
      <c r="J30" s="286">
        <f>'Initial unit rates'!J160</f>
        <v>0.31831573206254088</v>
      </c>
      <c r="K30" s="286">
        <f>'Initial unit rates'!K160</f>
        <v>0.31831573206254088</v>
      </c>
      <c r="L30" s="286">
        <f>'Initial unit rates'!L160</f>
        <v>0.36972533379806782</v>
      </c>
      <c r="M30" s="286">
        <f>'Initial unit rates'!M160</f>
        <v>0.36972533379806782</v>
      </c>
      <c r="N30" s="286">
        <f>'Initial unit rates'!N160</f>
        <v>0.2858077771664006</v>
      </c>
      <c r="O30" s="286">
        <f>'Initial unit rates'!O160</f>
        <v>0.23245844958117295</v>
      </c>
      <c r="P30" s="286">
        <f>'Initial unit rates'!P160</f>
        <v>0</v>
      </c>
      <c r="Q30" s="286">
        <f>'Initial unit rates'!Q160</f>
        <v>0.2858077771664006</v>
      </c>
      <c r="R30" s="286">
        <f>'Initial unit rates'!R160</f>
        <v>0.23245844958117295</v>
      </c>
      <c r="S30" s="286">
        <f>'Initial unit rates'!S160</f>
        <v>0</v>
      </c>
      <c r="T30" s="286">
        <f>'Initial unit rates'!T160</f>
        <v>0.71179047554141128</v>
      </c>
      <c r="U30" s="286">
        <f>'Initial unit rates'!U160</f>
        <v>-0.22762910618056312</v>
      </c>
      <c r="V30" s="286">
        <f>'Initial unit rates'!V160</f>
        <v>0</v>
      </c>
      <c r="W30" s="286">
        <f>'Initial unit rates'!W160</f>
        <v>-0.22762910618056312</v>
      </c>
      <c r="X30" s="286">
        <f>'Initial unit rates'!X160</f>
        <v>-0.22762910618056312</v>
      </c>
      <c r="Y30" s="286">
        <f>'Initial unit rates'!Y160</f>
        <v>0</v>
      </c>
      <c r="Z30" s="286">
        <f>'Initial unit rates'!Z160</f>
        <v>0</v>
      </c>
      <c r="AA30" s="286">
        <f>'Initial unit rates'!AA160</f>
        <v>0</v>
      </c>
      <c r="AB30" s="286">
        <f>'Initial unit rates'!AB160</f>
        <v>0</v>
      </c>
      <c r="AC30" s="271"/>
      <c r="AD30" s="271"/>
    </row>
    <row r="31" spans="3:30" x14ac:dyDescent="0.25">
      <c r="D31"/>
      <c r="F31" t="s">
        <v>198</v>
      </c>
      <c r="G31" t="s">
        <v>268</v>
      </c>
      <c r="H31" s="271"/>
      <c r="I31" s="271"/>
      <c r="J31" s="286">
        <f>'Initial unit rates'!J161</f>
        <v>5.5924951462990508E-2</v>
      </c>
      <c r="K31" s="286">
        <f>'Initial unit rates'!K161</f>
        <v>5.5924951462990508E-2</v>
      </c>
      <c r="L31" s="286">
        <f>'Initial unit rates'!L161</f>
        <v>6.4957114162464455E-2</v>
      </c>
      <c r="M31" s="286">
        <f>'Initial unit rates'!M161</f>
        <v>6.4957114162464455E-2</v>
      </c>
      <c r="N31" s="286">
        <f>'Initial unit rates'!N161</f>
        <v>5.0213622689046861E-2</v>
      </c>
      <c r="O31" s="286">
        <f>'Initial unit rates'!O161</f>
        <v>0</v>
      </c>
      <c r="P31" s="286">
        <f>'Initial unit rates'!P161</f>
        <v>0</v>
      </c>
      <c r="Q31" s="286">
        <f>'Initial unit rates'!Q161</f>
        <v>5.0213622689046861E-2</v>
      </c>
      <c r="R31" s="286">
        <f>'Initial unit rates'!R161</f>
        <v>0</v>
      </c>
      <c r="S31" s="286">
        <f>'Initial unit rates'!S161</f>
        <v>0</v>
      </c>
      <c r="T31" s="286">
        <f>'Initial unit rates'!T161</f>
        <v>0.12505460392592638</v>
      </c>
      <c r="U31" s="286">
        <f>'Initial unit rates'!U161</f>
        <v>0</v>
      </c>
      <c r="V31" s="286">
        <f>'Initial unit rates'!V161</f>
        <v>0</v>
      </c>
      <c r="W31" s="286">
        <f>'Initial unit rates'!W161</f>
        <v>0</v>
      </c>
      <c r="X31" s="286">
        <f>'Initial unit rates'!X161</f>
        <v>0</v>
      </c>
      <c r="Y31" s="286">
        <f>'Initial unit rates'!Y161</f>
        <v>0</v>
      </c>
      <c r="Z31" s="286">
        <f>'Initial unit rates'!Z161</f>
        <v>0</v>
      </c>
      <c r="AA31" s="286">
        <f>'Initial unit rates'!AA161</f>
        <v>0</v>
      </c>
      <c r="AB31" s="286">
        <f>'Initial unit rates'!AB161</f>
        <v>0</v>
      </c>
      <c r="AC31" s="271"/>
      <c r="AD31" s="271"/>
    </row>
    <row r="32" spans="3:30" x14ac:dyDescent="0.25">
      <c r="D32"/>
      <c r="F32" s="23" t="s">
        <v>375</v>
      </c>
      <c r="G32" s="23" t="s">
        <v>268</v>
      </c>
      <c r="H32" s="269"/>
      <c r="I32" s="269"/>
      <c r="J32" s="287"/>
      <c r="K32" s="287"/>
      <c r="L32" s="287"/>
      <c r="M32" s="287"/>
      <c r="N32" s="287"/>
      <c r="O32" s="287"/>
      <c r="P32" s="287"/>
      <c r="Q32" s="287"/>
      <c r="R32" s="287"/>
      <c r="S32" s="287"/>
      <c r="T32" s="287"/>
      <c r="U32" s="287"/>
      <c r="V32" s="287"/>
      <c r="W32" s="287"/>
      <c r="X32" s="287"/>
      <c r="Y32" s="287"/>
      <c r="Z32" s="287"/>
      <c r="AA32" s="287"/>
      <c r="AB32" s="287"/>
      <c r="AC32" s="271"/>
      <c r="AD32" s="271"/>
    </row>
    <row r="33" spans="4:30" x14ac:dyDescent="0.25">
      <c r="D33"/>
      <c r="F33" s="37" t="s">
        <v>376</v>
      </c>
      <c r="G33" s="37" t="s">
        <v>268</v>
      </c>
      <c r="H33" s="275"/>
      <c r="I33" s="275"/>
      <c r="J33" s="276"/>
      <c r="K33" s="276"/>
      <c r="L33" s="276"/>
      <c r="M33" s="276"/>
      <c r="N33" s="276"/>
      <c r="O33" s="276"/>
      <c r="P33" s="276"/>
      <c r="Q33" s="276"/>
      <c r="R33" s="276"/>
      <c r="S33" s="276"/>
      <c r="T33" s="276"/>
      <c r="U33" s="276"/>
      <c r="V33" s="276"/>
      <c r="W33" s="276"/>
      <c r="X33" s="276"/>
      <c r="Y33" s="276"/>
      <c r="Z33" s="276"/>
      <c r="AA33" s="276"/>
      <c r="AB33" s="276"/>
      <c r="AC33" s="271"/>
      <c r="AD33" s="271"/>
    </row>
    <row r="34" spans="4:30" x14ac:dyDescent="0.25">
      <c r="D34"/>
      <c r="J34" s="89"/>
      <c r="K34" s="89"/>
      <c r="L34" s="89"/>
      <c r="M34" s="89"/>
      <c r="N34" s="89"/>
      <c r="O34" s="89"/>
      <c r="P34" s="89"/>
      <c r="Q34" s="89"/>
      <c r="R34" s="89"/>
      <c r="S34" s="89"/>
      <c r="T34" s="89"/>
      <c r="U34" s="89"/>
      <c r="V34" s="89"/>
      <c r="W34" s="89"/>
      <c r="X34" s="89"/>
      <c r="Y34" s="89"/>
      <c r="Z34" s="89"/>
      <c r="AA34" s="89"/>
      <c r="AB34" s="89"/>
    </row>
    <row r="35" spans="4:30" x14ac:dyDescent="0.25">
      <c r="D35"/>
      <c r="E35" s="32" t="s">
        <v>621</v>
      </c>
      <c r="J35" s="89"/>
      <c r="K35" s="89"/>
      <c r="L35" s="89"/>
      <c r="M35" s="89"/>
      <c r="N35" s="89"/>
      <c r="O35" s="89"/>
      <c r="P35" s="89"/>
      <c r="Q35" s="89"/>
      <c r="R35" s="89"/>
      <c r="S35" s="89"/>
      <c r="T35" s="89"/>
      <c r="U35" s="89"/>
      <c r="V35" s="89"/>
      <c r="W35" s="89"/>
      <c r="X35" s="89"/>
      <c r="Y35" s="89"/>
      <c r="Z35" s="89"/>
      <c r="AA35" s="89"/>
      <c r="AB35" s="89"/>
    </row>
    <row r="36" spans="4:30" x14ac:dyDescent="0.25">
      <c r="D36"/>
      <c r="F36" s="23" t="s">
        <v>188</v>
      </c>
      <c r="G36" s="23" t="s">
        <v>268</v>
      </c>
      <c r="H36" s="269"/>
      <c r="I36" s="269"/>
      <c r="J36" s="285">
        <f>'Initial unit rates'!J164</f>
        <v>1.8751515036073518</v>
      </c>
      <c r="K36" s="285">
        <f>'Initial unit rates'!K164</f>
        <v>1.8751515036073518</v>
      </c>
      <c r="L36" s="285">
        <f>'Initial unit rates'!L164</f>
        <v>2.1779979616494836</v>
      </c>
      <c r="M36" s="285">
        <f>'Initial unit rates'!M164</f>
        <v>2.1779979616494836</v>
      </c>
      <c r="N36" s="285">
        <f>'Initial unit rates'!N164</f>
        <v>1.6836518874629611</v>
      </c>
      <c r="O36" s="285">
        <f>'Initial unit rates'!O164</f>
        <v>1.369378787639463</v>
      </c>
      <c r="P36" s="285">
        <f>'Initial unit rates'!P164</f>
        <v>1.3659699658727382</v>
      </c>
      <c r="Q36" s="285">
        <f>'Initial unit rates'!Q164</f>
        <v>1.6836518874629611</v>
      </c>
      <c r="R36" s="285">
        <f>'Initial unit rates'!R164</f>
        <v>1.369378787639463</v>
      </c>
      <c r="S36" s="285">
        <f>'Initial unit rates'!S164</f>
        <v>1.3659699658727382</v>
      </c>
      <c r="T36" s="285">
        <f>'Initial unit rates'!T164</f>
        <v>4.0704023450285449</v>
      </c>
      <c r="U36" s="285">
        <f>'Initial unit rates'!U164</f>
        <v>-1.3409298307487285</v>
      </c>
      <c r="V36" s="285">
        <f>'Initial unit rates'!V164</f>
        <v>-1.2749824620233809</v>
      </c>
      <c r="W36" s="285">
        <f>'Initial unit rates'!W164</f>
        <v>-1.3409298307487285</v>
      </c>
      <c r="X36" s="285">
        <f>'Initial unit rates'!X164</f>
        <v>-1.3409298307487285</v>
      </c>
      <c r="Y36" s="285">
        <f>'Initial unit rates'!Y164</f>
        <v>-1.2749824620233809</v>
      </c>
      <c r="Z36" s="285">
        <f>'Initial unit rates'!Z164</f>
        <v>-1.2749824620233809</v>
      </c>
      <c r="AA36" s="285">
        <f>'Initial unit rates'!AA164</f>
        <v>-1.2530000057815984</v>
      </c>
      <c r="AB36" s="285">
        <f>'Initial unit rates'!AB164</f>
        <v>-1.2530000057815984</v>
      </c>
      <c r="AC36" s="271"/>
      <c r="AD36" s="271"/>
    </row>
    <row r="37" spans="4:30" x14ac:dyDescent="0.25">
      <c r="D37"/>
      <c r="F37" t="s">
        <v>190</v>
      </c>
      <c r="G37" t="s">
        <v>268</v>
      </c>
      <c r="H37" s="271"/>
      <c r="I37" s="271"/>
      <c r="J37" s="286">
        <f>'Initial unit rates'!J165</f>
        <v>0</v>
      </c>
      <c r="K37" s="286">
        <f>'Initial unit rates'!K165</f>
        <v>0</v>
      </c>
      <c r="L37" s="286">
        <f>'Initial unit rates'!L165</f>
        <v>0</v>
      </c>
      <c r="M37" s="286">
        <f>'Initial unit rates'!M165</f>
        <v>0</v>
      </c>
      <c r="N37" s="286">
        <f>'Initial unit rates'!N165</f>
        <v>0</v>
      </c>
      <c r="O37" s="286">
        <f>'Initial unit rates'!O165</f>
        <v>0</v>
      </c>
      <c r="P37" s="286">
        <f>'Initial unit rates'!P165</f>
        <v>0</v>
      </c>
      <c r="Q37" s="286">
        <f>'Initial unit rates'!Q165</f>
        <v>0</v>
      </c>
      <c r="R37" s="286">
        <f>'Initial unit rates'!R165</f>
        <v>0</v>
      </c>
      <c r="S37" s="286">
        <f>'Initial unit rates'!S165</f>
        <v>0</v>
      </c>
      <c r="T37" s="286">
        <f>'Initial unit rates'!T165</f>
        <v>0</v>
      </c>
      <c r="U37" s="286">
        <f>'Initial unit rates'!U165</f>
        <v>0</v>
      </c>
      <c r="V37" s="286">
        <f>'Initial unit rates'!V165</f>
        <v>0</v>
      </c>
      <c r="W37" s="286">
        <f>'Initial unit rates'!W165</f>
        <v>0</v>
      </c>
      <c r="X37" s="286">
        <f>'Initial unit rates'!X165</f>
        <v>0</v>
      </c>
      <c r="Y37" s="286">
        <f>'Initial unit rates'!Y165</f>
        <v>0</v>
      </c>
      <c r="Z37" s="286">
        <f>'Initial unit rates'!Z165</f>
        <v>0</v>
      </c>
      <c r="AA37" s="286">
        <f>'Initial unit rates'!AA165</f>
        <v>0</v>
      </c>
      <c r="AB37" s="286">
        <f>'Initial unit rates'!AB165</f>
        <v>0</v>
      </c>
      <c r="AC37" s="271"/>
      <c r="AD37" s="271"/>
    </row>
    <row r="38" spans="4:30" x14ac:dyDescent="0.25">
      <c r="D38"/>
      <c r="F38" t="s">
        <v>191</v>
      </c>
      <c r="G38" t="s">
        <v>268</v>
      </c>
      <c r="H38" s="271"/>
      <c r="I38" s="271"/>
      <c r="J38" s="286">
        <f>'Initial unit rates'!J166</f>
        <v>0</v>
      </c>
      <c r="K38" s="286">
        <f>'Initial unit rates'!K166</f>
        <v>0</v>
      </c>
      <c r="L38" s="286">
        <f>'Initial unit rates'!L166</f>
        <v>0</v>
      </c>
      <c r="M38" s="286">
        <f>'Initial unit rates'!M166</f>
        <v>0</v>
      </c>
      <c r="N38" s="286">
        <f>'Initial unit rates'!N166</f>
        <v>0</v>
      </c>
      <c r="O38" s="286">
        <f>'Initial unit rates'!O166</f>
        <v>0</v>
      </c>
      <c r="P38" s="286">
        <f>'Initial unit rates'!P166</f>
        <v>0</v>
      </c>
      <c r="Q38" s="286">
        <f>'Initial unit rates'!Q166</f>
        <v>0</v>
      </c>
      <c r="R38" s="286">
        <f>'Initial unit rates'!R166</f>
        <v>0</v>
      </c>
      <c r="S38" s="286">
        <f>'Initial unit rates'!S166</f>
        <v>0</v>
      </c>
      <c r="T38" s="286">
        <f>'Initial unit rates'!T166</f>
        <v>0</v>
      </c>
      <c r="U38" s="286">
        <f>'Initial unit rates'!U166</f>
        <v>0</v>
      </c>
      <c r="V38" s="286">
        <f>'Initial unit rates'!V166</f>
        <v>0</v>
      </c>
      <c r="W38" s="286">
        <f>'Initial unit rates'!W166</f>
        <v>0</v>
      </c>
      <c r="X38" s="286">
        <f>'Initial unit rates'!X166</f>
        <v>0</v>
      </c>
      <c r="Y38" s="286">
        <f>'Initial unit rates'!Y166</f>
        <v>0</v>
      </c>
      <c r="Z38" s="286">
        <f>'Initial unit rates'!Z166</f>
        <v>0</v>
      </c>
      <c r="AA38" s="286">
        <f>'Initial unit rates'!AA166</f>
        <v>0</v>
      </c>
      <c r="AB38" s="286">
        <f>'Initial unit rates'!AB166</f>
        <v>0</v>
      </c>
      <c r="AC38" s="271"/>
      <c r="AD38" s="271"/>
    </row>
    <row r="39" spans="4:30" x14ac:dyDescent="0.25">
      <c r="D39"/>
      <c r="F39" t="s">
        <v>192</v>
      </c>
      <c r="G39" t="s">
        <v>268</v>
      </c>
      <c r="H39" s="271"/>
      <c r="I39" s="271"/>
      <c r="J39" s="286">
        <f>'Initial unit rates'!J167</f>
        <v>0</v>
      </c>
      <c r="K39" s="286">
        <f>'Initial unit rates'!K167</f>
        <v>0</v>
      </c>
      <c r="L39" s="286">
        <f>'Initial unit rates'!L167</f>
        <v>0</v>
      </c>
      <c r="M39" s="286">
        <f>'Initial unit rates'!M167</f>
        <v>0</v>
      </c>
      <c r="N39" s="286">
        <f>'Initial unit rates'!N167</f>
        <v>0</v>
      </c>
      <c r="O39" s="286">
        <f>'Initial unit rates'!O167</f>
        <v>0</v>
      </c>
      <c r="P39" s="286">
        <f>'Initial unit rates'!P167</f>
        <v>0</v>
      </c>
      <c r="Q39" s="286">
        <f>'Initial unit rates'!Q167</f>
        <v>0</v>
      </c>
      <c r="R39" s="286">
        <f>'Initial unit rates'!R167</f>
        <v>0</v>
      </c>
      <c r="S39" s="286">
        <f>'Initial unit rates'!S167</f>
        <v>0</v>
      </c>
      <c r="T39" s="286">
        <f>'Initial unit rates'!T167</f>
        <v>0</v>
      </c>
      <c r="U39" s="286">
        <f>'Initial unit rates'!U167</f>
        <v>0</v>
      </c>
      <c r="V39" s="286">
        <f>'Initial unit rates'!V167</f>
        <v>0</v>
      </c>
      <c r="W39" s="286">
        <f>'Initial unit rates'!W167</f>
        <v>0</v>
      </c>
      <c r="X39" s="286">
        <f>'Initial unit rates'!X167</f>
        <v>0</v>
      </c>
      <c r="Y39" s="286">
        <f>'Initial unit rates'!Y167</f>
        <v>0</v>
      </c>
      <c r="Z39" s="286">
        <f>'Initial unit rates'!Z167</f>
        <v>0</v>
      </c>
      <c r="AA39" s="286">
        <f>'Initial unit rates'!AA167</f>
        <v>0</v>
      </c>
      <c r="AB39" s="286">
        <f>'Initial unit rates'!AB167</f>
        <v>0</v>
      </c>
      <c r="AC39" s="271"/>
      <c r="AD39" s="271"/>
    </row>
    <row r="40" spans="4:30" x14ac:dyDescent="0.25">
      <c r="D40"/>
      <c r="F40" t="s">
        <v>193</v>
      </c>
      <c r="G40" t="s">
        <v>268</v>
      </c>
      <c r="H40" s="271"/>
      <c r="I40" s="271"/>
      <c r="J40" s="286">
        <f>'Initial unit rates'!J168</f>
        <v>1.3271969512058077</v>
      </c>
      <c r="K40" s="286">
        <f>'Initial unit rates'!K168</f>
        <v>1.3271969512058077</v>
      </c>
      <c r="L40" s="286">
        <f>'Initial unit rates'!L168</f>
        <v>1.5415459758172922</v>
      </c>
      <c r="M40" s="286">
        <f>'Initial unit rates'!M168</f>
        <v>1.5415459758172922</v>
      </c>
      <c r="N40" s="286">
        <f>'Initial unit rates'!N168</f>
        <v>1.1916571261756816</v>
      </c>
      <c r="O40" s="286">
        <f>'Initial unit rates'!O168</f>
        <v>0.96922053951623688</v>
      </c>
      <c r="P40" s="286">
        <f>'Initial unit rates'!P168</f>
        <v>0.96680783961049732</v>
      </c>
      <c r="Q40" s="286">
        <f>'Initial unit rates'!Q168</f>
        <v>1.1916571261756816</v>
      </c>
      <c r="R40" s="286">
        <f>'Initial unit rates'!R168</f>
        <v>0.96922053951623688</v>
      </c>
      <c r="S40" s="286">
        <f>'Initial unit rates'!S168</f>
        <v>0.96680783961049732</v>
      </c>
      <c r="T40" s="286">
        <f>'Initial unit rates'!T168</f>
        <v>2.8809541906935197</v>
      </c>
      <c r="U40" s="286">
        <f>'Initial unit rates'!U168</f>
        <v>-0.94908490312753313</v>
      </c>
      <c r="V40" s="286">
        <f>'Initial unit rates'!V168</f>
        <v>-0.90240859641634319</v>
      </c>
      <c r="W40" s="286">
        <f>'Initial unit rates'!W168</f>
        <v>-0.94908490312753313</v>
      </c>
      <c r="X40" s="286">
        <f>'Initial unit rates'!X168</f>
        <v>-0.94908490312753313</v>
      </c>
      <c r="Y40" s="286">
        <f>'Initial unit rates'!Y168</f>
        <v>-0.90240859641634319</v>
      </c>
      <c r="Z40" s="286">
        <f>'Initial unit rates'!Z168</f>
        <v>-0.90240859641634319</v>
      </c>
      <c r="AA40" s="286">
        <f>'Initial unit rates'!AA168</f>
        <v>-0.88684982751261299</v>
      </c>
      <c r="AB40" s="286">
        <f>'Initial unit rates'!AB168</f>
        <v>-0.88684982751261299</v>
      </c>
      <c r="AC40" s="271"/>
      <c r="AD40" s="271"/>
    </row>
    <row r="41" spans="4:30" x14ac:dyDescent="0.25">
      <c r="D41"/>
      <c r="F41" t="s">
        <v>194</v>
      </c>
      <c r="G41" t="s">
        <v>268</v>
      </c>
      <c r="H41" s="271"/>
      <c r="I41" s="271"/>
      <c r="J41" s="286">
        <f>'Initial unit rates'!J169</f>
        <v>0.29792241874154252</v>
      </c>
      <c r="K41" s="286">
        <f>'Initial unit rates'!K169</f>
        <v>0.29792241874154252</v>
      </c>
      <c r="L41" s="286">
        <f>'Initial unit rates'!L169</f>
        <v>0.34603839716443235</v>
      </c>
      <c r="M41" s="286">
        <f>'Initial unit rates'!M169</f>
        <v>0.34603839716443235</v>
      </c>
      <c r="N41" s="286">
        <f>'Initial unit rates'!N169</f>
        <v>0.26749712845429946</v>
      </c>
      <c r="O41" s="286">
        <f>'Initial unit rates'!O169</f>
        <v>0.2175656952529296</v>
      </c>
      <c r="P41" s="286">
        <f>'Initial unit rates'!P169</f>
        <v>0.21702410465406455</v>
      </c>
      <c r="Q41" s="286">
        <f>'Initial unit rates'!Q169</f>
        <v>0.26749712845429946</v>
      </c>
      <c r="R41" s="286">
        <f>'Initial unit rates'!R169</f>
        <v>0.2175656952529296</v>
      </c>
      <c r="S41" s="286">
        <f>'Initial unit rates'!S169</f>
        <v>0.21702410465406455</v>
      </c>
      <c r="T41" s="286">
        <f>'Initial unit rates'!T169</f>
        <v>0.666188688621981</v>
      </c>
      <c r="U41" s="286">
        <f>'Initial unit rates'!U169</f>
        <v>-0.21304575004783205</v>
      </c>
      <c r="V41" s="286">
        <f>'Initial unit rates'!V169</f>
        <v>-0.20256809020941408</v>
      </c>
      <c r="W41" s="286">
        <f>'Initial unit rates'!W169</f>
        <v>-0.21304575004783205</v>
      </c>
      <c r="X41" s="286">
        <f>'Initial unit rates'!X169</f>
        <v>-0.21304575004783205</v>
      </c>
      <c r="Y41" s="286">
        <f>'Initial unit rates'!Y169</f>
        <v>-0.20256809020941408</v>
      </c>
      <c r="Z41" s="286">
        <f>'Initial unit rates'!Z169</f>
        <v>-0.20256809020941408</v>
      </c>
      <c r="AA41" s="286">
        <f>'Initial unit rates'!AA169</f>
        <v>-0.19907553692994143</v>
      </c>
      <c r="AB41" s="286">
        <f>'Initial unit rates'!AB169</f>
        <v>-0.19907553692994143</v>
      </c>
      <c r="AC41" s="271"/>
      <c r="AD41" s="271"/>
    </row>
    <row r="42" spans="4:30" x14ac:dyDescent="0.25">
      <c r="D42"/>
      <c r="F42" t="s">
        <v>195</v>
      </c>
      <c r="G42" t="s">
        <v>268</v>
      </c>
      <c r="H42" s="271"/>
      <c r="I42" s="271"/>
      <c r="J42" s="286">
        <f>'Initial unit rates'!J170</f>
        <v>0</v>
      </c>
      <c r="K42" s="286">
        <f>'Initial unit rates'!K170</f>
        <v>0</v>
      </c>
      <c r="L42" s="286">
        <f>'Initial unit rates'!L170</f>
        <v>0</v>
      </c>
      <c r="M42" s="286">
        <f>'Initial unit rates'!M170</f>
        <v>0</v>
      </c>
      <c r="N42" s="286">
        <f>'Initial unit rates'!N170</f>
        <v>0</v>
      </c>
      <c r="O42" s="286">
        <f>'Initial unit rates'!O170</f>
        <v>0</v>
      </c>
      <c r="P42" s="286">
        <f>'Initial unit rates'!P170</f>
        <v>0</v>
      </c>
      <c r="Q42" s="286">
        <f>'Initial unit rates'!Q170</f>
        <v>0</v>
      </c>
      <c r="R42" s="286">
        <f>'Initial unit rates'!R170</f>
        <v>0</v>
      </c>
      <c r="S42" s="286">
        <f>'Initial unit rates'!S170</f>
        <v>0</v>
      </c>
      <c r="T42" s="286">
        <f>'Initial unit rates'!T170</f>
        <v>0</v>
      </c>
      <c r="U42" s="286">
        <f>'Initial unit rates'!U170</f>
        <v>0</v>
      </c>
      <c r="V42" s="286">
        <f>'Initial unit rates'!V170</f>
        <v>0</v>
      </c>
      <c r="W42" s="286">
        <f>'Initial unit rates'!W170</f>
        <v>0</v>
      </c>
      <c r="X42" s="286">
        <f>'Initial unit rates'!X170</f>
        <v>0</v>
      </c>
      <c r="Y42" s="286">
        <f>'Initial unit rates'!Y170</f>
        <v>0</v>
      </c>
      <c r="Z42" s="286">
        <f>'Initial unit rates'!Z170</f>
        <v>0</v>
      </c>
      <c r="AA42" s="286">
        <f>'Initial unit rates'!AA170</f>
        <v>0</v>
      </c>
      <c r="AB42" s="286">
        <f>'Initial unit rates'!AB170</f>
        <v>0</v>
      </c>
      <c r="AC42" s="271"/>
      <c r="AD42" s="271"/>
    </row>
    <row r="43" spans="4:30" x14ac:dyDescent="0.25">
      <c r="D43"/>
      <c r="F43" t="s">
        <v>196</v>
      </c>
      <c r="G43" t="s">
        <v>268</v>
      </c>
      <c r="H43" s="271"/>
      <c r="I43" s="271"/>
      <c r="J43" s="286">
        <f>'Initial unit rates'!J171</f>
        <v>1.2816705915961015</v>
      </c>
      <c r="K43" s="286">
        <f>'Initial unit rates'!K171</f>
        <v>1.2816705915961015</v>
      </c>
      <c r="L43" s="286">
        <f>'Initial unit rates'!L171</f>
        <v>1.4886668787200668</v>
      </c>
      <c r="M43" s="286">
        <f>'Initial unit rates'!M171</f>
        <v>1.4886668787200668</v>
      </c>
      <c r="N43" s="286">
        <f>'Initial unit rates'!N171</f>
        <v>1.1507801404288012</v>
      </c>
      <c r="O43" s="286">
        <f>'Initial unit rates'!O171</f>
        <v>0.93597371598862078</v>
      </c>
      <c r="P43" s="286">
        <f>'Initial unit rates'!P171</f>
        <v>0.93364377805987264</v>
      </c>
      <c r="Q43" s="286">
        <f>'Initial unit rates'!Q171</f>
        <v>1.1507801404288012</v>
      </c>
      <c r="R43" s="286">
        <f>'Initial unit rates'!R171</f>
        <v>0.93597371598862078</v>
      </c>
      <c r="S43" s="286">
        <f>'Initial unit rates'!S171</f>
        <v>0.93364377805987264</v>
      </c>
      <c r="T43" s="286">
        <f>'Initial unit rates'!T171</f>
        <v>2.865962401444837</v>
      </c>
      <c r="U43" s="286">
        <f>'Initial unit rates'!U171</f>
        <v>-0.91652878509194657</v>
      </c>
      <c r="V43" s="286">
        <f>'Initial unit rates'!V171</f>
        <v>-0.87145359893988361</v>
      </c>
      <c r="W43" s="286">
        <f>'Initial unit rates'!W171</f>
        <v>-0.91652878509194657</v>
      </c>
      <c r="X43" s="286">
        <f>'Initial unit rates'!X171</f>
        <v>-0.91652878509194657</v>
      </c>
      <c r="Y43" s="286">
        <f>'Initial unit rates'!Y171</f>
        <v>-0.87145359893988361</v>
      </c>
      <c r="Z43" s="286">
        <f>'Initial unit rates'!Z171</f>
        <v>-0.87145359893988361</v>
      </c>
      <c r="AA43" s="286">
        <f>'Initial unit rates'!AA171</f>
        <v>0</v>
      </c>
      <c r="AB43" s="286">
        <f>'Initial unit rates'!AB171</f>
        <v>0</v>
      </c>
      <c r="AC43" s="271"/>
      <c r="AD43" s="271"/>
    </row>
    <row r="44" spans="4:30" x14ac:dyDescent="0.25">
      <c r="D44"/>
      <c r="F44" t="s">
        <v>197</v>
      </c>
      <c r="G44" t="s">
        <v>268</v>
      </c>
      <c r="H44" s="271"/>
      <c r="I44" s="271"/>
      <c r="J44" s="286">
        <f>'Initial unit rates'!J172</f>
        <v>0.3221201107161773</v>
      </c>
      <c r="K44" s="286">
        <f>'Initial unit rates'!K172</f>
        <v>0.3221201107161773</v>
      </c>
      <c r="L44" s="286">
        <f>'Initial unit rates'!L172</f>
        <v>0.37414413885836451</v>
      </c>
      <c r="M44" s="286">
        <f>'Initial unit rates'!M172</f>
        <v>0.37414413885836451</v>
      </c>
      <c r="N44" s="286">
        <f>'Initial unit rates'!N172</f>
        <v>0.28922363411902369</v>
      </c>
      <c r="O44" s="286">
        <f>'Initial unit rates'!O172</f>
        <v>0.23523669732191077</v>
      </c>
      <c r="P44" s="286">
        <f>'Initial unit rates'!P172</f>
        <v>0</v>
      </c>
      <c r="Q44" s="286">
        <f>'Initial unit rates'!Q172</f>
        <v>0.28922363411902369</v>
      </c>
      <c r="R44" s="286">
        <f>'Initial unit rates'!R172</f>
        <v>0.23523669732191077</v>
      </c>
      <c r="S44" s="286">
        <f>'Initial unit rates'!S172</f>
        <v>0</v>
      </c>
      <c r="T44" s="286">
        <f>'Initial unit rates'!T172</f>
        <v>0.72029750242778401</v>
      </c>
      <c r="U44" s="286">
        <f>'Initial unit rates'!U172</f>
        <v>-0.23034963559608548</v>
      </c>
      <c r="V44" s="286">
        <f>'Initial unit rates'!V172</f>
        <v>0</v>
      </c>
      <c r="W44" s="286">
        <f>'Initial unit rates'!W172</f>
        <v>-0.23034963559608548</v>
      </c>
      <c r="X44" s="286">
        <f>'Initial unit rates'!X172</f>
        <v>-0.23034963559608548</v>
      </c>
      <c r="Y44" s="286">
        <f>'Initial unit rates'!Y172</f>
        <v>0</v>
      </c>
      <c r="Z44" s="286">
        <f>'Initial unit rates'!Z172</f>
        <v>0</v>
      </c>
      <c r="AA44" s="286">
        <f>'Initial unit rates'!AA172</f>
        <v>0</v>
      </c>
      <c r="AB44" s="286">
        <f>'Initial unit rates'!AB172</f>
        <v>0</v>
      </c>
      <c r="AC44" s="271"/>
      <c r="AD44" s="271"/>
    </row>
    <row r="45" spans="4:30" x14ac:dyDescent="0.25">
      <c r="D45"/>
      <c r="F45" t="s">
        <v>198</v>
      </c>
      <c r="G45" t="s">
        <v>268</v>
      </c>
      <c r="H45" s="271"/>
      <c r="I45" s="271"/>
      <c r="J45" s="286">
        <f>'Initial unit rates'!J173</f>
        <v>0.54181621035669014</v>
      </c>
      <c r="K45" s="286">
        <f>'Initial unit rates'!K173</f>
        <v>0.54181621035669014</v>
      </c>
      <c r="L45" s="286">
        <f>'Initial unit rates'!L173</f>
        <v>0.6293222704807222</v>
      </c>
      <c r="M45" s="286">
        <f>'Initial unit rates'!M173</f>
        <v>0.6293222704807222</v>
      </c>
      <c r="N45" s="286">
        <f>'Initial unit rates'!N173</f>
        <v>0.4864832966670446</v>
      </c>
      <c r="O45" s="286">
        <f>'Initial unit rates'!O173</f>
        <v>0</v>
      </c>
      <c r="P45" s="286">
        <f>'Initial unit rates'!P173</f>
        <v>0</v>
      </c>
      <c r="Q45" s="286">
        <f>'Initial unit rates'!Q173</f>
        <v>0.4864832966670446</v>
      </c>
      <c r="R45" s="286">
        <f>'Initial unit rates'!R173</f>
        <v>0</v>
      </c>
      <c r="S45" s="286">
        <f>'Initial unit rates'!S173</f>
        <v>0</v>
      </c>
      <c r="T45" s="286">
        <f>'Initial unit rates'!T173</f>
        <v>1.2115631719705942</v>
      </c>
      <c r="U45" s="286">
        <f>'Initial unit rates'!U173</f>
        <v>0</v>
      </c>
      <c r="V45" s="286">
        <f>'Initial unit rates'!V173</f>
        <v>0</v>
      </c>
      <c r="W45" s="286">
        <f>'Initial unit rates'!W173</f>
        <v>0</v>
      </c>
      <c r="X45" s="286">
        <f>'Initial unit rates'!X173</f>
        <v>0</v>
      </c>
      <c r="Y45" s="286">
        <f>'Initial unit rates'!Y173</f>
        <v>0</v>
      </c>
      <c r="Z45" s="286">
        <f>'Initial unit rates'!Z173</f>
        <v>0</v>
      </c>
      <c r="AA45" s="286">
        <f>'Initial unit rates'!AA173</f>
        <v>0</v>
      </c>
      <c r="AB45" s="286">
        <f>'Initial unit rates'!AB173</f>
        <v>0</v>
      </c>
      <c r="AC45" s="271"/>
      <c r="AD45" s="271"/>
    </row>
    <row r="46" spans="4:30" x14ac:dyDescent="0.25">
      <c r="D46"/>
      <c r="F46" s="23" t="s">
        <v>375</v>
      </c>
      <c r="G46" s="23" t="s">
        <v>268</v>
      </c>
      <c r="H46" s="269"/>
      <c r="I46" s="269" t="s">
        <v>153</v>
      </c>
      <c r="J46" s="287"/>
      <c r="K46" s="287"/>
      <c r="L46" s="287"/>
      <c r="M46" s="287"/>
      <c r="N46" s="287"/>
      <c r="O46" s="287"/>
      <c r="P46" s="287"/>
      <c r="Q46" s="287"/>
      <c r="R46" s="287"/>
      <c r="S46" s="287"/>
      <c r="T46" s="285">
        <f>'Service model charges'!$T$44</f>
        <v>0.42942896297178434</v>
      </c>
      <c r="U46" s="287"/>
      <c r="V46" s="287"/>
      <c r="W46" s="287"/>
      <c r="X46" s="287"/>
      <c r="Y46" s="287"/>
      <c r="Z46" s="287"/>
      <c r="AA46" s="287"/>
      <c r="AB46" s="287"/>
      <c r="AC46" s="271"/>
      <c r="AD46" s="271" t="s">
        <v>653</v>
      </c>
    </row>
    <row r="47" spans="4:30" x14ac:dyDescent="0.25">
      <c r="D47"/>
      <c r="F47" s="37" t="s">
        <v>376</v>
      </c>
      <c r="G47" s="37" t="s">
        <v>268</v>
      </c>
      <c r="H47" s="275"/>
      <c r="I47" s="275"/>
      <c r="J47" s="276"/>
      <c r="K47" s="276"/>
      <c r="L47" s="276"/>
      <c r="M47" s="276"/>
      <c r="N47" s="276"/>
      <c r="O47" s="276"/>
      <c r="P47" s="276"/>
      <c r="Q47" s="276"/>
      <c r="R47" s="276"/>
      <c r="S47" s="276"/>
      <c r="T47" s="276"/>
      <c r="U47" s="276"/>
      <c r="V47" s="276"/>
      <c r="W47" s="276"/>
      <c r="X47" s="276"/>
      <c r="Y47" s="276"/>
      <c r="Z47" s="276"/>
      <c r="AA47" s="276"/>
      <c r="AB47" s="276"/>
      <c r="AC47" s="271"/>
      <c r="AD47" s="271"/>
    </row>
    <row r="48" spans="4:30" x14ac:dyDescent="0.25">
      <c r="J48" s="89"/>
      <c r="K48" s="89"/>
      <c r="L48" s="89"/>
      <c r="M48" s="89"/>
      <c r="N48" s="89"/>
      <c r="O48" s="89"/>
      <c r="P48" s="89"/>
      <c r="Q48" s="89"/>
      <c r="R48" s="89"/>
      <c r="S48" s="89"/>
      <c r="T48" s="89"/>
      <c r="U48" s="89"/>
      <c r="V48" s="89"/>
      <c r="W48" s="89"/>
      <c r="X48" s="89"/>
      <c r="Y48" s="89"/>
      <c r="Z48" s="89"/>
      <c r="AA48" s="89"/>
      <c r="AB48" s="89"/>
    </row>
    <row r="49" spans="3:30" x14ac:dyDescent="0.25">
      <c r="C49" s="31" t="str">
        <f ca="1">INDEX('Version control'!$H$34:$H$57,MATCH($A$1,'Version control'!$F$34:$F$57,0),1)&amp;"-B: Initial unit rate 2"</f>
        <v>Section 111-B: Initial unit rate 2</v>
      </c>
      <c r="D49" s="31"/>
      <c r="E49" s="31"/>
      <c r="F49" s="31"/>
      <c r="G49" s="31"/>
      <c r="H49" s="31"/>
      <c r="I49" s="31"/>
      <c r="J49" s="90"/>
      <c r="K49" s="90"/>
      <c r="L49" s="90"/>
      <c r="M49" s="90"/>
      <c r="N49" s="90"/>
      <c r="O49" s="90"/>
      <c r="P49" s="90"/>
      <c r="Q49" s="90"/>
      <c r="R49" s="90"/>
      <c r="S49" s="90"/>
      <c r="T49" s="90"/>
      <c r="U49" s="90"/>
      <c r="V49" s="90"/>
      <c r="W49" s="90"/>
      <c r="X49" s="90"/>
      <c r="Y49" s="90"/>
      <c r="Z49" s="90"/>
      <c r="AA49" s="90"/>
      <c r="AB49" s="90"/>
      <c r="AC49" s="31"/>
      <c r="AD49" s="31"/>
    </row>
    <row r="50" spans="3:30" x14ac:dyDescent="0.25">
      <c r="C50" s="32"/>
      <c r="D50"/>
      <c r="E50" s="32"/>
      <c r="J50" s="89"/>
      <c r="K50" s="89"/>
      <c r="L50" s="89"/>
      <c r="M50" s="89"/>
      <c r="N50" s="89"/>
      <c r="O50" s="89"/>
      <c r="P50" s="89"/>
      <c r="Q50" s="89"/>
      <c r="R50" s="89"/>
      <c r="S50" s="89"/>
      <c r="T50" s="89"/>
      <c r="U50" s="89"/>
      <c r="V50" s="89"/>
      <c r="W50" s="89"/>
      <c r="X50" s="89"/>
      <c r="Y50" s="89"/>
      <c r="Z50" s="89"/>
      <c r="AA50" s="89"/>
      <c r="AB50" s="89"/>
    </row>
    <row r="51" spans="3:30" x14ac:dyDescent="0.25">
      <c r="D51"/>
      <c r="E51" s="32" t="s">
        <v>620</v>
      </c>
      <c r="J51" s="89"/>
      <c r="K51" s="89"/>
      <c r="L51" s="89"/>
      <c r="M51" s="89"/>
      <c r="N51" s="89"/>
      <c r="O51" s="89"/>
      <c r="P51" s="89"/>
      <c r="Q51" s="89"/>
      <c r="R51" s="89"/>
      <c r="S51" s="89"/>
      <c r="T51" s="89"/>
      <c r="U51" s="89"/>
      <c r="V51" s="89"/>
      <c r="W51" s="89"/>
      <c r="X51" s="89"/>
      <c r="Y51" s="89"/>
      <c r="Z51" s="89"/>
      <c r="AA51" s="89"/>
      <c r="AB51" s="89"/>
    </row>
    <row r="52" spans="3:30" x14ac:dyDescent="0.25">
      <c r="D52"/>
      <c r="F52" s="23" t="s">
        <v>188</v>
      </c>
      <c r="G52" s="23" t="s">
        <v>268</v>
      </c>
      <c r="H52" s="269"/>
      <c r="I52" s="269"/>
      <c r="J52" s="285">
        <f>'Initial unit rates'!J181</f>
        <v>0</v>
      </c>
      <c r="K52" s="285">
        <f>'Initial unit rates'!K181</f>
        <v>0</v>
      </c>
      <c r="L52" s="285">
        <f>'Initial unit rates'!L181</f>
        <v>0</v>
      </c>
      <c r="M52" s="285">
        <f>'Initial unit rates'!M181</f>
        <v>0</v>
      </c>
      <c r="N52" s="285">
        <f>'Initial unit rates'!N181</f>
        <v>0</v>
      </c>
      <c r="O52" s="285">
        <f>'Initial unit rates'!O181</f>
        <v>0</v>
      </c>
      <c r="P52" s="285">
        <f>'Initial unit rates'!P181</f>
        <v>0</v>
      </c>
      <c r="Q52" s="285">
        <f>'Initial unit rates'!Q181</f>
        <v>0</v>
      </c>
      <c r="R52" s="285">
        <f>'Initial unit rates'!R181</f>
        <v>0</v>
      </c>
      <c r="S52" s="285">
        <f>'Initial unit rates'!S181</f>
        <v>0</v>
      </c>
      <c r="T52" s="285">
        <f>'Initial unit rates'!T181</f>
        <v>0</v>
      </c>
      <c r="U52" s="285">
        <f>'Initial unit rates'!U181</f>
        <v>0</v>
      </c>
      <c r="V52" s="285">
        <f>'Initial unit rates'!V181</f>
        <v>0</v>
      </c>
      <c r="W52" s="285">
        <f>'Initial unit rates'!W181</f>
        <v>0</v>
      </c>
      <c r="X52" s="285">
        <f>'Initial unit rates'!X181</f>
        <v>0</v>
      </c>
      <c r="Y52" s="285">
        <f>'Initial unit rates'!Y181</f>
        <v>0</v>
      </c>
      <c r="Z52" s="285">
        <f>'Initial unit rates'!Z181</f>
        <v>0</v>
      </c>
      <c r="AA52" s="285">
        <f>'Initial unit rates'!AA181</f>
        <v>0</v>
      </c>
      <c r="AB52" s="285">
        <f>'Initial unit rates'!AB181</f>
        <v>0</v>
      </c>
      <c r="AC52" s="271"/>
      <c r="AD52" s="271"/>
    </row>
    <row r="53" spans="3:30" x14ac:dyDescent="0.25">
      <c r="D53"/>
      <c r="F53" t="s">
        <v>190</v>
      </c>
      <c r="G53" t="s">
        <v>268</v>
      </c>
      <c r="H53" s="271"/>
      <c r="I53" s="271"/>
      <c r="J53" s="286">
        <f>'Initial unit rates'!J182</f>
        <v>0</v>
      </c>
      <c r="K53" s="286">
        <f>'Initial unit rates'!K182</f>
        <v>0</v>
      </c>
      <c r="L53" s="286">
        <f>'Initial unit rates'!L182</f>
        <v>0</v>
      </c>
      <c r="M53" s="286">
        <f>'Initial unit rates'!M182</f>
        <v>0</v>
      </c>
      <c r="N53" s="286">
        <f>'Initial unit rates'!N182</f>
        <v>0</v>
      </c>
      <c r="O53" s="286">
        <f>'Initial unit rates'!O182</f>
        <v>0</v>
      </c>
      <c r="P53" s="286">
        <f>'Initial unit rates'!P182</f>
        <v>0</v>
      </c>
      <c r="Q53" s="286">
        <f>'Initial unit rates'!Q182</f>
        <v>0</v>
      </c>
      <c r="R53" s="286">
        <f>'Initial unit rates'!R182</f>
        <v>0</v>
      </c>
      <c r="S53" s="286">
        <f>'Initial unit rates'!S182</f>
        <v>0</v>
      </c>
      <c r="T53" s="286">
        <f>'Initial unit rates'!T182</f>
        <v>0</v>
      </c>
      <c r="U53" s="286">
        <f>'Initial unit rates'!U182</f>
        <v>0</v>
      </c>
      <c r="V53" s="286">
        <f>'Initial unit rates'!V182</f>
        <v>0</v>
      </c>
      <c r="W53" s="286">
        <f>'Initial unit rates'!W182</f>
        <v>0</v>
      </c>
      <c r="X53" s="286">
        <f>'Initial unit rates'!X182</f>
        <v>0</v>
      </c>
      <c r="Y53" s="286">
        <f>'Initial unit rates'!Y182</f>
        <v>0</v>
      </c>
      <c r="Z53" s="286">
        <f>'Initial unit rates'!Z182</f>
        <v>0</v>
      </c>
      <c r="AA53" s="286">
        <f>'Initial unit rates'!AA182</f>
        <v>0</v>
      </c>
      <c r="AB53" s="286">
        <f>'Initial unit rates'!AB182</f>
        <v>0</v>
      </c>
      <c r="AC53" s="271"/>
      <c r="AD53" s="271"/>
    </row>
    <row r="54" spans="3:30" x14ac:dyDescent="0.25">
      <c r="D54"/>
      <c r="F54" t="s">
        <v>191</v>
      </c>
      <c r="G54" t="s">
        <v>268</v>
      </c>
      <c r="H54" s="271"/>
      <c r="I54" s="271"/>
      <c r="J54" s="286">
        <f>'Initial unit rates'!J183</f>
        <v>0</v>
      </c>
      <c r="K54" s="286">
        <f>'Initial unit rates'!K183</f>
        <v>0</v>
      </c>
      <c r="L54" s="286">
        <f>'Initial unit rates'!L183</f>
        <v>0</v>
      </c>
      <c r="M54" s="286">
        <f>'Initial unit rates'!M183</f>
        <v>0</v>
      </c>
      <c r="N54" s="286">
        <f>'Initial unit rates'!N183</f>
        <v>0</v>
      </c>
      <c r="O54" s="286">
        <f>'Initial unit rates'!O183</f>
        <v>0</v>
      </c>
      <c r="P54" s="286">
        <f>'Initial unit rates'!P183</f>
        <v>0</v>
      </c>
      <c r="Q54" s="286">
        <f>'Initial unit rates'!Q183</f>
        <v>0</v>
      </c>
      <c r="R54" s="286">
        <f>'Initial unit rates'!R183</f>
        <v>0</v>
      </c>
      <c r="S54" s="286">
        <f>'Initial unit rates'!S183</f>
        <v>0</v>
      </c>
      <c r="T54" s="286">
        <f>'Initial unit rates'!T183</f>
        <v>0</v>
      </c>
      <c r="U54" s="286">
        <f>'Initial unit rates'!U183</f>
        <v>0</v>
      </c>
      <c r="V54" s="286">
        <f>'Initial unit rates'!V183</f>
        <v>0</v>
      </c>
      <c r="W54" s="286">
        <f>'Initial unit rates'!W183</f>
        <v>0</v>
      </c>
      <c r="X54" s="286">
        <f>'Initial unit rates'!X183</f>
        <v>0</v>
      </c>
      <c r="Y54" s="286">
        <f>'Initial unit rates'!Y183</f>
        <v>0</v>
      </c>
      <c r="Z54" s="286">
        <f>'Initial unit rates'!Z183</f>
        <v>0</v>
      </c>
      <c r="AA54" s="286">
        <f>'Initial unit rates'!AA183</f>
        <v>0</v>
      </c>
      <c r="AB54" s="286">
        <f>'Initial unit rates'!AB183</f>
        <v>0</v>
      </c>
      <c r="AC54" s="271"/>
      <c r="AD54" s="271"/>
    </row>
    <row r="55" spans="3:30" x14ac:dyDescent="0.25">
      <c r="D55"/>
      <c r="F55" t="s">
        <v>192</v>
      </c>
      <c r="G55" t="s">
        <v>268</v>
      </c>
      <c r="H55" s="271"/>
      <c r="I55" s="271"/>
      <c r="J55" s="286">
        <f>'Initial unit rates'!J184</f>
        <v>0</v>
      </c>
      <c r="K55" s="286">
        <f>'Initial unit rates'!K184</f>
        <v>0</v>
      </c>
      <c r="L55" s="286">
        <f>'Initial unit rates'!L184</f>
        <v>0</v>
      </c>
      <c r="M55" s="286">
        <f>'Initial unit rates'!M184</f>
        <v>0</v>
      </c>
      <c r="N55" s="286">
        <f>'Initial unit rates'!N184</f>
        <v>0</v>
      </c>
      <c r="O55" s="286">
        <f>'Initial unit rates'!O184</f>
        <v>0</v>
      </c>
      <c r="P55" s="286">
        <f>'Initial unit rates'!P184</f>
        <v>0</v>
      </c>
      <c r="Q55" s="286">
        <f>'Initial unit rates'!Q184</f>
        <v>0</v>
      </c>
      <c r="R55" s="286">
        <f>'Initial unit rates'!R184</f>
        <v>0</v>
      </c>
      <c r="S55" s="286">
        <f>'Initial unit rates'!S184</f>
        <v>0</v>
      </c>
      <c r="T55" s="286">
        <f>'Initial unit rates'!T184</f>
        <v>0</v>
      </c>
      <c r="U55" s="286">
        <f>'Initial unit rates'!U184</f>
        <v>0</v>
      </c>
      <c r="V55" s="286">
        <f>'Initial unit rates'!V184</f>
        <v>0</v>
      </c>
      <c r="W55" s="286">
        <f>'Initial unit rates'!W184</f>
        <v>0</v>
      </c>
      <c r="X55" s="286">
        <f>'Initial unit rates'!X184</f>
        <v>0</v>
      </c>
      <c r="Y55" s="286">
        <f>'Initial unit rates'!Y184</f>
        <v>0</v>
      </c>
      <c r="Z55" s="286">
        <f>'Initial unit rates'!Z184</f>
        <v>0</v>
      </c>
      <c r="AA55" s="286">
        <f>'Initial unit rates'!AA184</f>
        <v>0</v>
      </c>
      <c r="AB55" s="286">
        <f>'Initial unit rates'!AB184</f>
        <v>0</v>
      </c>
      <c r="AC55" s="271"/>
      <c r="AD55" s="271"/>
    </row>
    <row r="56" spans="3:30" x14ac:dyDescent="0.25">
      <c r="D56"/>
      <c r="F56" t="s">
        <v>193</v>
      </c>
      <c r="G56" t="s">
        <v>268</v>
      </c>
      <c r="H56" s="271"/>
      <c r="I56" s="271"/>
      <c r="J56" s="286">
        <f>'Initial unit rates'!J185</f>
        <v>0.1438617225082271</v>
      </c>
      <c r="K56" s="286">
        <f>'Initial unit rates'!K185</f>
        <v>0.1438617225082271</v>
      </c>
      <c r="L56" s="286">
        <f>'Initial unit rates'!L185</f>
        <v>0.16709611878268379</v>
      </c>
      <c r="M56" s="286">
        <f>'Initial unit rates'!M185</f>
        <v>0.16709611878268379</v>
      </c>
      <c r="N56" s="286">
        <f>'Initial unit rates'!N185</f>
        <v>0.12916986183179766</v>
      </c>
      <c r="O56" s="286">
        <f>'Initial unit rates'!O185</f>
        <v>0.10505881299567355</v>
      </c>
      <c r="P56" s="286">
        <f>'Initial unit rates'!P185</f>
        <v>0.1015380422101458</v>
      </c>
      <c r="Q56" s="286">
        <f>'Initial unit rates'!Q185</f>
        <v>0.12916986183179766</v>
      </c>
      <c r="R56" s="286">
        <f>'Initial unit rates'!R185</f>
        <v>0.10505881299567355</v>
      </c>
      <c r="S56" s="286">
        <f>'Initial unit rates'!S185</f>
        <v>0.1015380422101458</v>
      </c>
      <c r="T56" s="286">
        <f>'Initial unit rates'!T185</f>
        <v>0.12323803469373426</v>
      </c>
      <c r="U56" s="286">
        <f>'Initial unit rates'!U185</f>
        <v>-0.10287620751873476</v>
      </c>
      <c r="V56" s="286">
        <f>'Initial unit rates'!V185</f>
        <v>-9.7816721903059289E-2</v>
      </c>
      <c r="W56" s="286">
        <f>'Initial unit rates'!W185</f>
        <v>-0.10287620751873476</v>
      </c>
      <c r="X56" s="286">
        <f>'Initial unit rates'!X185</f>
        <v>-0.10287620751873476</v>
      </c>
      <c r="Y56" s="286">
        <f>'Initial unit rates'!Y185</f>
        <v>-9.7816721903059289E-2</v>
      </c>
      <c r="Z56" s="286">
        <f>'Initial unit rates'!Z185</f>
        <v>-9.7816721903059289E-2</v>
      </c>
      <c r="AA56" s="286">
        <f>'Initial unit rates'!AA185</f>
        <v>-9.3140530652207704E-2</v>
      </c>
      <c r="AB56" s="286">
        <f>'Initial unit rates'!AB185</f>
        <v>-9.3140530652207704E-2</v>
      </c>
      <c r="AC56" s="271"/>
      <c r="AD56" s="271"/>
    </row>
    <row r="57" spans="3:30" x14ac:dyDescent="0.25">
      <c r="D57"/>
      <c r="F57" t="s">
        <v>194</v>
      </c>
      <c r="G57" t="s">
        <v>268</v>
      </c>
      <c r="H57" s="271"/>
      <c r="I57" s="271"/>
      <c r="J57" s="286">
        <f>'Initial unit rates'!J186</f>
        <v>4.8523421577766256E-2</v>
      </c>
      <c r="K57" s="286">
        <f>'Initial unit rates'!K186</f>
        <v>4.8523421577766256E-2</v>
      </c>
      <c r="L57" s="286">
        <f>'Initial unit rates'!L186</f>
        <v>5.6360199741366176E-2</v>
      </c>
      <c r="M57" s="286">
        <f>'Initial unit rates'!M186</f>
        <v>5.6360199741366176E-2</v>
      </c>
      <c r="N57" s="286">
        <f>'Initial unit rates'!N186</f>
        <v>4.356797313091882E-2</v>
      </c>
      <c r="O57" s="286">
        <f>'Initial unit rates'!O186</f>
        <v>3.5435506989409539E-2</v>
      </c>
      <c r="P57" s="286">
        <f>'Initial unit rates'!P186</f>
        <v>3.0323647194290419E-2</v>
      </c>
      <c r="Q57" s="286">
        <f>'Initial unit rates'!Q186</f>
        <v>4.356797313091882E-2</v>
      </c>
      <c r="R57" s="286">
        <f>'Initial unit rates'!R186</f>
        <v>3.5435506989409539E-2</v>
      </c>
      <c r="S57" s="286">
        <f>'Initial unit rates'!S186</f>
        <v>3.0323647194290419E-2</v>
      </c>
      <c r="T57" s="286">
        <f>'Initial unit rates'!T186</f>
        <v>3.699604555862028E-2</v>
      </c>
      <c r="U57" s="286">
        <f>'Initial unit rates'!U186</f>
        <v>-3.4699331418528372E-2</v>
      </c>
      <c r="V57" s="286">
        <f>'Initial unit rates'!V186</f>
        <v>-3.2992806922535173E-2</v>
      </c>
      <c r="W57" s="286">
        <f>'Initial unit rates'!W186</f>
        <v>-3.4699331418528372E-2</v>
      </c>
      <c r="X57" s="286">
        <f>'Initial unit rates'!X186</f>
        <v>-3.4699331418528372E-2</v>
      </c>
      <c r="Y57" s="286">
        <f>'Initial unit rates'!Y186</f>
        <v>-3.2992806922535173E-2</v>
      </c>
      <c r="Z57" s="286">
        <f>'Initial unit rates'!Z186</f>
        <v>-3.2992806922535173E-2</v>
      </c>
      <c r="AA57" s="286">
        <f>'Initial unit rates'!AA186</f>
        <v>-2.7815787359196549E-2</v>
      </c>
      <c r="AB57" s="286">
        <f>'Initial unit rates'!AB186</f>
        <v>-2.7815787359196549E-2</v>
      </c>
      <c r="AC57" s="271"/>
      <c r="AD57" s="271"/>
    </row>
    <row r="58" spans="3:30" x14ac:dyDescent="0.25">
      <c r="D58"/>
      <c r="F58" t="s">
        <v>195</v>
      </c>
      <c r="G58" t="s">
        <v>268</v>
      </c>
      <c r="H58" s="271"/>
      <c r="I58" s="271"/>
      <c r="J58" s="286">
        <f>'Initial unit rates'!J187</f>
        <v>0</v>
      </c>
      <c r="K58" s="286">
        <f>'Initial unit rates'!K187</f>
        <v>0</v>
      </c>
      <c r="L58" s="286">
        <f>'Initial unit rates'!L187</f>
        <v>0</v>
      </c>
      <c r="M58" s="286">
        <f>'Initial unit rates'!M187</f>
        <v>0</v>
      </c>
      <c r="N58" s="286">
        <f>'Initial unit rates'!N187</f>
        <v>0</v>
      </c>
      <c r="O58" s="286">
        <f>'Initial unit rates'!O187</f>
        <v>0</v>
      </c>
      <c r="P58" s="286">
        <f>'Initial unit rates'!P187</f>
        <v>0</v>
      </c>
      <c r="Q58" s="286">
        <f>'Initial unit rates'!Q187</f>
        <v>0</v>
      </c>
      <c r="R58" s="286">
        <f>'Initial unit rates'!R187</f>
        <v>0</v>
      </c>
      <c r="S58" s="286">
        <f>'Initial unit rates'!S187</f>
        <v>0</v>
      </c>
      <c r="T58" s="286">
        <f>'Initial unit rates'!T187</f>
        <v>0</v>
      </c>
      <c r="U58" s="286">
        <f>'Initial unit rates'!U187</f>
        <v>0</v>
      </c>
      <c r="V58" s="286">
        <f>'Initial unit rates'!V187</f>
        <v>0</v>
      </c>
      <c r="W58" s="286">
        <f>'Initial unit rates'!W187</f>
        <v>0</v>
      </c>
      <c r="X58" s="286">
        <f>'Initial unit rates'!X187</f>
        <v>0</v>
      </c>
      <c r="Y58" s="286">
        <f>'Initial unit rates'!Y187</f>
        <v>0</v>
      </c>
      <c r="Z58" s="286">
        <f>'Initial unit rates'!Z187</f>
        <v>0</v>
      </c>
      <c r="AA58" s="286">
        <f>'Initial unit rates'!AA187</f>
        <v>0</v>
      </c>
      <c r="AB58" s="286">
        <f>'Initial unit rates'!AB187</f>
        <v>0</v>
      </c>
      <c r="AC58" s="271"/>
      <c r="AD58" s="271"/>
    </row>
    <row r="59" spans="3:30" x14ac:dyDescent="0.25">
      <c r="D59"/>
      <c r="F59" t="s">
        <v>196</v>
      </c>
      <c r="G59" t="s">
        <v>268</v>
      </c>
      <c r="H59" s="271"/>
      <c r="I59" s="271"/>
      <c r="J59" s="286">
        <f>'Initial unit rates'!J188</f>
        <v>0.16686319527226703</v>
      </c>
      <c r="K59" s="286">
        <f>'Initial unit rates'!K188</f>
        <v>0.16686319527226703</v>
      </c>
      <c r="L59" s="286">
        <f>'Initial unit rates'!L188</f>
        <v>0.19381244580940135</v>
      </c>
      <c r="M59" s="286">
        <f>'Initial unit rates'!M188</f>
        <v>0.19381244580940135</v>
      </c>
      <c r="N59" s="286">
        <f>'Initial unit rates'!N188</f>
        <v>0.14982231202534368</v>
      </c>
      <c r="O59" s="286">
        <f>'Initial unit rates'!O188</f>
        <v>0.12185624447091643</v>
      </c>
      <c r="P59" s="286">
        <f>'Initial unit rates'!P188</f>
        <v>8.341271124519431E-2</v>
      </c>
      <c r="Q59" s="286">
        <f>'Initial unit rates'!Q188</f>
        <v>0.14982231202534368</v>
      </c>
      <c r="R59" s="286">
        <f>'Initial unit rates'!R188</f>
        <v>0.12185624447091643</v>
      </c>
      <c r="S59" s="286">
        <f>'Initial unit rates'!S188</f>
        <v>8.341271124519431E-2</v>
      </c>
      <c r="T59" s="286">
        <f>'Initial unit rates'!T188</f>
        <v>0.12722265194048846</v>
      </c>
      <c r="U59" s="286">
        <f>'Initial unit rates'!U188</f>
        <v>-0.11932467097415166</v>
      </c>
      <c r="V59" s="286">
        <f>'Initial unit rates'!V188</f>
        <v>-0.11345624453279995</v>
      </c>
      <c r="W59" s="286">
        <f>'Initial unit rates'!W188</f>
        <v>-0.11932467097415166</v>
      </c>
      <c r="X59" s="286">
        <f>'Initial unit rates'!X188</f>
        <v>-0.11932467097415166</v>
      </c>
      <c r="Y59" s="286">
        <f>'Initial unit rates'!Y188</f>
        <v>-0.11345624453279995</v>
      </c>
      <c r="Z59" s="286">
        <f>'Initial unit rates'!Z188</f>
        <v>-0.11345624453279995</v>
      </c>
      <c r="AA59" s="286">
        <f>'Initial unit rates'!AA188</f>
        <v>0</v>
      </c>
      <c r="AB59" s="286">
        <f>'Initial unit rates'!AB188</f>
        <v>0</v>
      </c>
      <c r="AC59" s="271"/>
      <c r="AD59" s="271"/>
    </row>
    <row r="60" spans="3:30" x14ac:dyDescent="0.25">
      <c r="D60"/>
      <c r="F60" t="s">
        <v>197</v>
      </c>
      <c r="G60" t="s">
        <v>268</v>
      </c>
      <c r="H60" s="271"/>
      <c r="I60" s="271"/>
      <c r="J60" s="286">
        <f>'Initial unit rates'!J189</f>
        <v>3.8315656300647608E-2</v>
      </c>
      <c r="K60" s="286">
        <f>'Initial unit rates'!K189</f>
        <v>3.8315656300647608E-2</v>
      </c>
      <c r="L60" s="286">
        <f>'Initial unit rates'!L189</f>
        <v>4.4503828710123795E-2</v>
      </c>
      <c r="M60" s="286">
        <f>'Initial unit rates'!M189</f>
        <v>4.4503828710123795E-2</v>
      </c>
      <c r="N60" s="286">
        <f>'Initial unit rates'!N189</f>
        <v>3.4402674624351627E-2</v>
      </c>
      <c r="O60" s="286">
        <f>'Initial unit rates'!O189</f>
        <v>2.7981017465337491E-2</v>
      </c>
      <c r="P60" s="286">
        <f>'Initial unit rates'!P189</f>
        <v>0</v>
      </c>
      <c r="Q60" s="286">
        <f>'Initial unit rates'!Q189</f>
        <v>3.4402674624351627E-2</v>
      </c>
      <c r="R60" s="286">
        <f>'Initial unit rates'!R189</f>
        <v>2.7981017465337491E-2</v>
      </c>
      <c r="S60" s="286">
        <f>'Initial unit rates'!S189</f>
        <v>0</v>
      </c>
      <c r="T60" s="286">
        <f>'Initial unit rates'!T189</f>
        <v>2.9213268974352696E-2</v>
      </c>
      <c r="U60" s="286">
        <f>'Initial unit rates'!U189</f>
        <v>-2.7399709527157375E-2</v>
      </c>
      <c r="V60" s="286">
        <f>'Initial unit rates'!V189</f>
        <v>0</v>
      </c>
      <c r="W60" s="286">
        <f>'Initial unit rates'!W189</f>
        <v>-2.7399709527157375E-2</v>
      </c>
      <c r="X60" s="286">
        <f>'Initial unit rates'!X189</f>
        <v>-2.7399709527157375E-2</v>
      </c>
      <c r="Y60" s="286">
        <f>'Initial unit rates'!Y189</f>
        <v>0</v>
      </c>
      <c r="Z60" s="286">
        <f>'Initial unit rates'!Z189</f>
        <v>0</v>
      </c>
      <c r="AA60" s="286">
        <f>'Initial unit rates'!AA189</f>
        <v>0</v>
      </c>
      <c r="AB60" s="286">
        <f>'Initial unit rates'!AB189</f>
        <v>0</v>
      </c>
      <c r="AC60" s="271"/>
      <c r="AD60" s="271"/>
    </row>
    <row r="61" spans="3:30" x14ac:dyDescent="0.25">
      <c r="D61"/>
      <c r="F61" t="s">
        <v>198</v>
      </c>
      <c r="G61" t="s">
        <v>268</v>
      </c>
      <c r="H61" s="271"/>
      <c r="I61" s="271"/>
      <c r="J61" s="286">
        <f>'Initial unit rates'!J190</f>
        <v>6.7316849374737739E-3</v>
      </c>
      <c r="K61" s="286">
        <f>'Initial unit rates'!K190</f>
        <v>6.7316849374737739E-3</v>
      </c>
      <c r="L61" s="286">
        <f>'Initial unit rates'!L190</f>
        <v>7.8188861241765984E-3</v>
      </c>
      <c r="M61" s="286">
        <f>'Initial unit rates'!M190</f>
        <v>7.8188861241765984E-3</v>
      </c>
      <c r="N61" s="286">
        <f>'Initial unit rates'!N190</f>
        <v>6.0442124430906538E-3</v>
      </c>
      <c r="O61" s="286">
        <f>'Initial unit rates'!O190</f>
        <v>0</v>
      </c>
      <c r="P61" s="286">
        <f>'Initial unit rates'!P190</f>
        <v>0</v>
      </c>
      <c r="Q61" s="286">
        <f>'Initial unit rates'!Q190</f>
        <v>6.0442124430906538E-3</v>
      </c>
      <c r="R61" s="286">
        <f>'Initial unit rates'!R190</f>
        <v>0</v>
      </c>
      <c r="S61" s="286">
        <f>'Initial unit rates'!S190</f>
        <v>0</v>
      </c>
      <c r="T61" s="286">
        <f>'Initial unit rates'!T190</f>
        <v>5.1324847781792039E-3</v>
      </c>
      <c r="U61" s="286">
        <f>'Initial unit rates'!U190</f>
        <v>0</v>
      </c>
      <c r="V61" s="286">
        <f>'Initial unit rates'!V190</f>
        <v>0</v>
      </c>
      <c r="W61" s="286">
        <f>'Initial unit rates'!W190</f>
        <v>0</v>
      </c>
      <c r="X61" s="286">
        <f>'Initial unit rates'!X190</f>
        <v>0</v>
      </c>
      <c r="Y61" s="286">
        <f>'Initial unit rates'!Y190</f>
        <v>0</v>
      </c>
      <c r="Z61" s="286">
        <f>'Initial unit rates'!Z190</f>
        <v>0</v>
      </c>
      <c r="AA61" s="286">
        <f>'Initial unit rates'!AA190</f>
        <v>0</v>
      </c>
      <c r="AB61" s="286">
        <f>'Initial unit rates'!AB190</f>
        <v>0</v>
      </c>
      <c r="AC61" s="271"/>
      <c r="AD61" s="271"/>
    </row>
    <row r="62" spans="3:30" x14ac:dyDescent="0.25">
      <c r="D62"/>
      <c r="F62" s="23" t="s">
        <v>375</v>
      </c>
      <c r="G62" s="23" t="s">
        <v>268</v>
      </c>
      <c r="H62" s="269"/>
      <c r="I62" s="269"/>
      <c r="J62" s="287"/>
      <c r="K62" s="287"/>
      <c r="L62" s="287"/>
      <c r="M62" s="287"/>
      <c r="N62" s="287"/>
      <c r="O62" s="287"/>
      <c r="P62" s="287"/>
      <c r="Q62" s="287"/>
      <c r="R62" s="287"/>
      <c r="S62" s="287"/>
      <c r="T62" s="287"/>
      <c r="U62" s="287"/>
      <c r="V62" s="287"/>
      <c r="W62" s="287"/>
      <c r="X62" s="287"/>
      <c r="Y62" s="287"/>
      <c r="Z62" s="287"/>
      <c r="AA62" s="287"/>
      <c r="AB62" s="287"/>
      <c r="AC62" s="271"/>
      <c r="AD62" s="271"/>
    </row>
    <row r="63" spans="3:30" x14ac:dyDescent="0.25">
      <c r="D63"/>
      <c r="F63" s="37" t="s">
        <v>376</v>
      </c>
      <c r="G63" s="37" t="s">
        <v>268</v>
      </c>
      <c r="H63" s="275"/>
      <c r="I63" s="275"/>
      <c r="J63" s="276"/>
      <c r="K63" s="276"/>
      <c r="L63" s="276"/>
      <c r="M63" s="276"/>
      <c r="N63" s="276"/>
      <c r="O63" s="276"/>
      <c r="P63" s="276"/>
      <c r="Q63" s="276"/>
      <c r="R63" s="276"/>
      <c r="S63" s="276"/>
      <c r="T63" s="276"/>
      <c r="U63" s="276"/>
      <c r="V63" s="276"/>
      <c r="W63" s="276"/>
      <c r="X63" s="276"/>
      <c r="Y63" s="276"/>
      <c r="Z63" s="276"/>
      <c r="AA63" s="276"/>
      <c r="AB63" s="276"/>
      <c r="AC63" s="271"/>
      <c r="AD63" s="271"/>
    </row>
    <row r="64" spans="3:30" x14ac:dyDescent="0.25">
      <c r="D64"/>
      <c r="J64" s="89"/>
      <c r="K64" s="89"/>
      <c r="L64" s="89"/>
      <c r="M64" s="89"/>
      <c r="N64" s="89"/>
      <c r="O64" s="89"/>
      <c r="P64" s="89"/>
      <c r="Q64" s="89"/>
      <c r="R64" s="89"/>
      <c r="S64" s="89"/>
      <c r="T64" s="89"/>
      <c r="U64" s="89"/>
      <c r="V64" s="89"/>
      <c r="W64" s="89"/>
      <c r="X64" s="89"/>
      <c r="Y64" s="89"/>
      <c r="Z64" s="89"/>
      <c r="AA64" s="89"/>
      <c r="AB64" s="89"/>
    </row>
    <row r="65" spans="3:30" x14ac:dyDescent="0.25">
      <c r="D65"/>
      <c r="E65" s="32" t="s">
        <v>621</v>
      </c>
      <c r="J65" s="89"/>
      <c r="K65" s="89"/>
      <c r="L65" s="89"/>
      <c r="M65" s="89"/>
      <c r="N65" s="89"/>
      <c r="O65" s="89"/>
      <c r="P65" s="89"/>
      <c r="Q65" s="89"/>
      <c r="R65" s="89"/>
      <c r="S65" s="89"/>
      <c r="T65" s="89"/>
      <c r="U65" s="89"/>
      <c r="V65" s="89"/>
      <c r="W65" s="89"/>
      <c r="X65" s="89"/>
      <c r="Y65" s="89"/>
      <c r="Z65" s="89"/>
      <c r="AA65" s="89"/>
      <c r="AB65" s="89"/>
    </row>
    <row r="66" spans="3:30" x14ac:dyDescent="0.25">
      <c r="D66"/>
      <c r="F66" s="23" t="s">
        <v>188</v>
      </c>
      <c r="G66" s="23" t="s">
        <v>268</v>
      </c>
      <c r="H66" s="269"/>
      <c r="I66" s="269"/>
      <c r="J66" s="285">
        <f>'Initial unit rates'!J193</f>
        <v>0.15021599433191743</v>
      </c>
      <c r="K66" s="285">
        <f>'Initial unit rates'!K193</f>
        <v>0.15021599433191743</v>
      </c>
      <c r="L66" s="285">
        <f>'Initial unit rates'!L193</f>
        <v>0.17447663766509949</v>
      </c>
      <c r="M66" s="285">
        <f>'Initial unit rates'!M193</f>
        <v>0.17447663766509949</v>
      </c>
      <c r="N66" s="285">
        <f>'Initial unit rates'!N193</f>
        <v>0.13487520442882392</v>
      </c>
      <c r="O66" s="285">
        <f>'Initial unit rates'!O193</f>
        <v>0.10969918740249729</v>
      </c>
      <c r="P66" s="285">
        <f>'Initial unit rates'!P193</f>
        <v>0.10942611104029204</v>
      </c>
      <c r="Q66" s="285">
        <f>'Initial unit rates'!Q193</f>
        <v>0.13487520442882392</v>
      </c>
      <c r="R66" s="285">
        <f>'Initial unit rates'!R193</f>
        <v>0.10969918740249729</v>
      </c>
      <c r="S66" s="285">
        <f>'Initial unit rates'!S193</f>
        <v>0.10942611104029204</v>
      </c>
      <c r="T66" s="285">
        <f>'Initial unit rates'!T193</f>
        <v>0.12868137262830254</v>
      </c>
      <c r="U66" s="285">
        <f>'Initial unit rates'!U193</f>
        <v>-0.10742017776576855</v>
      </c>
      <c r="V66" s="285">
        <f>'Initial unit rates'!V193</f>
        <v>-0.10213721820351762</v>
      </c>
      <c r="W66" s="285">
        <f>'Initial unit rates'!W193</f>
        <v>-0.10742017776576855</v>
      </c>
      <c r="X66" s="285">
        <f>'Initial unit rates'!X193</f>
        <v>-0.10742017776576855</v>
      </c>
      <c r="Y66" s="285">
        <f>'Initial unit rates'!Y193</f>
        <v>-0.10213721820351762</v>
      </c>
      <c r="Z66" s="285">
        <f>'Initial unit rates'!Z193</f>
        <v>-0.10213721820351762</v>
      </c>
      <c r="AA66" s="285">
        <f>'Initial unit rates'!AA193</f>
        <v>-0.10037623168276731</v>
      </c>
      <c r="AB66" s="285">
        <f>'Initial unit rates'!AB193</f>
        <v>-0.10037623168276731</v>
      </c>
      <c r="AC66" s="271"/>
      <c r="AD66" s="271"/>
    </row>
    <row r="67" spans="3:30" x14ac:dyDescent="0.25">
      <c r="D67"/>
      <c r="F67" t="s">
        <v>190</v>
      </c>
      <c r="G67" t="s">
        <v>268</v>
      </c>
      <c r="H67" s="271"/>
      <c r="I67" s="271"/>
      <c r="J67" s="286">
        <f>'Initial unit rates'!J194</f>
        <v>0</v>
      </c>
      <c r="K67" s="286">
        <f>'Initial unit rates'!K194</f>
        <v>0</v>
      </c>
      <c r="L67" s="286">
        <f>'Initial unit rates'!L194</f>
        <v>0</v>
      </c>
      <c r="M67" s="286">
        <f>'Initial unit rates'!M194</f>
        <v>0</v>
      </c>
      <c r="N67" s="286">
        <f>'Initial unit rates'!N194</f>
        <v>0</v>
      </c>
      <c r="O67" s="286">
        <f>'Initial unit rates'!O194</f>
        <v>0</v>
      </c>
      <c r="P67" s="286">
        <f>'Initial unit rates'!P194</f>
        <v>0</v>
      </c>
      <c r="Q67" s="286">
        <f>'Initial unit rates'!Q194</f>
        <v>0</v>
      </c>
      <c r="R67" s="286">
        <f>'Initial unit rates'!R194</f>
        <v>0</v>
      </c>
      <c r="S67" s="286">
        <f>'Initial unit rates'!S194</f>
        <v>0</v>
      </c>
      <c r="T67" s="286">
        <f>'Initial unit rates'!T194</f>
        <v>0</v>
      </c>
      <c r="U67" s="286">
        <f>'Initial unit rates'!U194</f>
        <v>0</v>
      </c>
      <c r="V67" s="286">
        <f>'Initial unit rates'!V194</f>
        <v>0</v>
      </c>
      <c r="W67" s="286">
        <f>'Initial unit rates'!W194</f>
        <v>0</v>
      </c>
      <c r="X67" s="286">
        <f>'Initial unit rates'!X194</f>
        <v>0</v>
      </c>
      <c r="Y67" s="286">
        <f>'Initial unit rates'!Y194</f>
        <v>0</v>
      </c>
      <c r="Z67" s="286">
        <f>'Initial unit rates'!Z194</f>
        <v>0</v>
      </c>
      <c r="AA67" s="286">
        <f>'Initial unit rates'!AA194</f>
        <v>0</v>
      </c>
      <c r="AB67" s="286">
        <f>'Initial unit rates'!AB194</f>
        <v>0</v>
      </c>
      <c r="AC67" s="271"/>
      <c r="AD67" s="271"/>
    </row>
    <row r="68" spans="3:30" x14ac:dyDescent="0.25">
      <c r="D68"/>
      <c r="F68" t="s">
        <v>191</v>
      </c>
      <c r="G68" t="s">
        <v>268</v>
      </c>
      <c r="H68" s="271"/>
      <c r="I68" s="271"/>
      <c r="J68" s="286">
        <f>'Initial unit rates'!J195</f>
        <v>0</v>
      </c>
      <c r="K68" s="286">
        <f>'Initial unit rates'!K195</f>
        <v>0</v>
      </c>
      <c r="L68" s="286">
        <f>'Initial unit rates'!L195</f>
        <v>0</v>
      </c>
      <c r="M68" s="286">
        <f>'Initial unit rates'!M195</f>
        <v>0</v>
      </c>
      <c r="N68" s="286">
        <f>'Initial unit rates'!N195</f>
        <v>0</v>
      </c>
      <c r="O68" s="286">
        <f>'Initial unit rates'!O195</f>
        <v>0</v>
      </c>
      <c r="P68" s="286">
        <f>'Initial unit rates'!P195</f>
        <v>0</v>
      </c>
      <c r="Q68" s="286">
        <f>'Initial unit rates'!Q195</f>
        <v>0</v>
      </c>
      <c r="R68" s="286">
        <f>'Initial unit rates'!R195</f>
        <v>0</v>
      </c>
      <c r="S68" s="286">
        <f>'Initial unit rates'!S195</f>
        <v>0</v>
      </c>
      <c r="T68" s="286">
        <f>'Initial unit rates'!T195</f>
        <v>0</v>
      </c>
      <c r="U68" s="286">
        <f>'Initial unit rates'!U195</f>
        <v>0</v>
      </c>
      <c r="V68" s="286">
        <f>'Initial unit rates'!V195</f>
        <v>0</v>
      </c>
      <c r="W68" s="286">
        <f>'Initial unit rates'!W195</f>
        <v>0</v>
      </c>
      <c r="X68" s="286">
        <f>'Initial unit rates'!X195</f>
        <v>0</v>
      </c>
      <c r="Y68" s="286">
        <f>'Initial unit rates'!Y195</f>
        <v>0</v>
      </c>
      <c r="Z68" s="286">
        <f>'Initial unit rates'!Z195</f>
        <v>0</v>
      </c>
      <c r="AA68" s="286">
        <f>'Initial unit rates'!AA195</f>
        <v>0</v>
      </c>
      <c r="AB68" s="286">
        <f>'Initial unit rates'!AB195</f>
        <v>0</v>
      </c>
      <c r="AC68" s="271"/>
      <c r="AD68" s="271"/>
    </row>
    <row r="69" spans="3:30" x14ac:dyDescent="0.25">
      <c r="D69"/>
      <c r="F69" t="s">
        <v>192</v>
      </c>
      <c r="G69" t="s">
        <v>268</v>
      </c>
      <c r="H69" s="271"/>
      <c r="I69" s="271"/>
      <c r="J69" s="286">
        <f>'Initial unit rates'!J196</f>
        <v>0</v>
      </c>
      <c r="K69" s="286">
        <f>'Initial unit rates'!K196</f>
        <v>0</v>
      </c>
      <c r="L69" s="286">
        <f>'Initial unit rates'!L196</f>
        <v>0</v>
      </c>
      <c r="M69" s="286">
        <f>'Initial unit rates'!M196</f>
        <v>0</v>
      </c>
      <c r="N69" s="286">
        <f>'Initial unit rates'!N196</f>
        <v>0</v>
      </c>
      <c r="O69" s="286">
        <f>'Initial unit rates'!O196</f>
        <v>0</v>
      </c>
      <c r="P69" s="286">
        <f>'Initial unit rates'!P196</f>
        <v>0</v>
      </c>
      <c r="Q69" s="286">
        <f>'Initial unit rates'!Q196</f>
        <v>0</v>
      </c>
      <c r="R69" s="286">
        <f>'Initial unit rates'!R196</f>
        <v>0</v>
      </c>
      <c r="S69" s="286">
        <f>'Initial unit rates'!S196</f>
        <v>0</v>
      </c>
      <c r="T69" s="286">
        <f>'Initial unit rates'!T196</f>
        <v>0</v>
      </c>
      <c r="U69" s="286">
        <f>'Initial unit rates'!U196</f>
        <v>0</v>
      </c>
      <c r="V69" s="286">
        <f>'Initial unit rates'!V196</f>
        <v>0</v>
      </c>
      <c r="W69" s="286">
        <f>'Initial unit rates'!W196</f>
        <v>0</v>
      </c>
      <c r="X69" s="286">
        <f>'Initial unit rates'!X196</f>
        <v>0</v>
      </c>
      <c r="Y69" s="286">
        <f>'Initial unit rates'!Y196</f>
        <v>0</v>
      </c>
      <c r="Z69" s="286">
        <f>'Initial unit rates'!Z196</f>
        <v>0</v>
      </c>
      <c r="AA69" s="286">
        <f>'Initial unit rates'!AA196</f>
        <v>0</v>
      </c>
      <c r="AB69" s="286">
        <f>'Initial unit rates'!AB196</f>
        <v>0</v>
      </c>
      <c r="AC69" s="271"/>
      <c r="AD69" s="271"/>
    </row>
    <row r="70" spans="3:30" x14ac:dyDescent="0.25">
      <c r="D70"/>
      <c r="F70" t="s">
        <v>193</v>
      </c>
      <c r="G70" t="s">
        <v>268</v>
      </c>
      <c r="H70" s="271"/>
      <c r="I70" s="271"/>
      <c r="J70" s="286">
        <f>'Initial unit rates'!J197</f>
        <v>0.10632005430821767</v>
      </c>
      <c r="K70" s="286">
        <f>'Initial unit rates'!K197</f>
        <v>0.10632005430821767</v>
      </c>
      <c r="L70" s="286">
        <f>'Initial unit rates'!L197</f>
        <v>0.12349128116863302</v>
      </c>
      <c r="M70" s="286">
        <f>'Initial unit rates'!M197</f>
        <v>0.12349128116863302</v>
      </c>
      <c r="N70" s="286">
        <f>'Initial unit rates'!N197</f>
        <v>9.5462131868720837E-2</v>
      </c>
      <c r="O70" s="286">
        <f>'Initial unit rates'!O197</f>
        <v>7.7643020732065263E-2</v>
      </c>
      <c r="P70" s="286">
        <f>'Initial unit rates'!P197</f>
        <v>7.7449742421129855E-2</v>
      </c>
      <c r="Q70" s="286">
        <f>'Initial unit rates'!Q197</f>
        <v>9.5462131868720837E-2</v>
      </c>
      <c r="R70" s="286">
        <f>'Initial unit rates'!R197</f>
        <v>7.7643020732065263E-2</v>
      </c>
      <c r="S70" s="286">
        <f>'Initial unit rates'!S197</f>
        <v>7.7449742421129855E-2</v>
      </c>
      <c r="T70" s="286">
        <f>'Initial unit rates'!T197</f>
        <v>9.1078254264100933E-2</v>
      </c>
      <c r="U70" s="286">
        <f>'Initial unit rates'!U197</f>
        <v>-7.6029980593273136E-2</v>
      </c>
      <c r="V70" s="286">
        <f>'Initial unit rates'!V197</f>
        <v>-7.2290801219833487E-2</v>
      </c>
      <c r="W70" s="286">
        <f>'Initial unit rates'!W197</f>
        <v>-7.6029980593273136E-2</v>
      </c>
      <c r="X70" s="286">
        <f>'Initial unit rates'!X197</f>
        <v>-7.6029980593273136E-2</v>
      </c>
      <c r="Y70" s="286">
        <f>'Initial unit rates'!Y197</f>
        <v>-7.2290801219833487E-2</v>
      </c>
      <c r="Z70" s="286">
        <f>'Initial unit rates'!Z197</f>
        <v>-7.2290801219833487E-2</v>
      </c>
      <c r="AA70" s="286">
        <f>'Initial unit rates'!AA197</f>
        <v>-7.1044408095353589E-2</v>
      </c>
      <c r="AB70" s="286">
        <f>'Initial unit rates'!AB197</f>
        <v>-7.1044408095353589E-2</v>
      </c>
      <c r="AC70" s="271"/>
      <c r="AD70" s="271"/>
    </row>
    <row r="71" spans="3:30" x14ac:dyDescent="0.25">
      <c r="D71"/>
      <c r="F71" t="s">
        <v>194</v>
      </c>
      <c r="G71" t="s">
        <v>268</v>
      </c>
      <c r="H71" s="271"/>
      <c r="I71" s="271"/>
      <c r="J71" s="286">
        <f>'Initial unit rates'!J198</f>
        <v>3.586091371228798E-2</v>
      </c>
      <c r="K71" s="286">
        <f>'Initial unit rates'!K198</f>
        <v>3.586091371228798E-2</v>
      </c>
      <c r="L71" s="286">
        <f>'Initial unit rates'!L198</f>
        <v>4.1652632770203112E-2</v>
      </c>
      <c r="M71" s="286">
        <f>'Initial unit rates'!M198</f>
        <v>4.1652632770203112E-2</v>
      </c>
      <c r="N71" s="286">
        <f>'Initial unit rates'!N198</f>
        <v>3.2198622320216939E-2</v>
      </c>
      <c r="O71" s="286">
        <f>'Initial unit rates'!O198</f>
        <v>2.6188377018339912E-2</v>
      </c>
      <c r="P71" s="286">
        <f>'Initial unit rates'!P198</f>
        <v>2.6123185772191582E-2</v>
      </c>
      <c r="Q71" s="286">
        <f>'Initial unit rates'!Q198</f>
        <v>3.2198622320216939E-2</v>
      </c>
      <c r="R71" s="286">
        <f>'Initial unit rates'!R198</f>
        <v>2.6188377018339912E-2</v>
      </c>
      <c r="S71" s="286">
        <f>'Initial unit rates'!S198</f>
        <v>2.6123185772191582E-2</v>
      </c>
      <c r="T71" s="286">
        <f>'Initial unit rates'!T198</f>
        <v>2.7341682724234446E-2</v>
      </c>
      <c r="U71" s="286">
        <f>'Initial unit rates'!U198</f>
        <v>-2.5644311332820316E-2</v>
      </c>
      <c r="V71" s="286">
        <f>'Initial unit rates'!V198</f>
        <v>-2.4383115693501281E-2</v>
      </c>
      <c r="W71" s="286">
        <f>'Initial unit rates'!W198</f>
        <v>-2.5644311332820316E-2</v>
      </c>
      <c r="X71" s="286">
        <f>'Initial unit rates'!X198</f>
        <v>-2.5644311332820316E-2</v>
      </c>
      <c r="Y71" s="286">
        <f>'Initial unit rates'!Y198</f>
        <v>-2.4383115693501281E-2</v>
      </c>
      <c r="Z71" s="286">
        <f>'Initial unit rates'!Z198</f>
        <v>-2.4383115693501281E-2</v>
      </c>
      <c r="AA71" s="286">
        <f>'Initial unit rates'!AA198</f>
        <v>-2.3962717147061607E-2</v>
      </c>
      <c r="AB71" s="286">
        <f>'Initial unit rates'!AB198</f>
        <v>-2.3962717147061607E-2</v>
      </c>
      <c r="AC71" s="271"/>
      <c r="AD71" s="271"/>
    </row>
    <row r="72" spans="3:30" x14ac:dyDescent="0.25">
      <c r="D72"/>
      <c r="F72" t="s">
        <v>195</v>
      </c>
      <c r="G72" t="s">
        <v>268</v>
      </c>
      <c r="H72" s="271"/>
      <c r="I72" s="271"/>
      <c r="J72" s="286">
        <f>'Initial unit rates'!J199</f>
        <v>0</v>
      </c>
      <c r="K72" s="286">
        <f>'Initial unit rates'!K199</f>
        <v>0</v>
      </c>
      <c r="L72" s="286">
        <f>'Initial unit rates'!L199</f>
        <v>0</v>
      </c>
      <c r="M72" s="286">
        <f>'Initial unit rates'!M199</f>
        <v>0</v>
      </c>
      <c r="N72" s="286">
        <f>'Initial unit rates'!N199</f>
        <v>0</v>
      </c>
      <c r="O72" s="286">
        <f>'Initial unit rates'!O199</f>
        <v>0</v>
      </c>
      <c r="P72" s="286">
        <f>'Initial unit rates'!P199</f>
        <v>0</v>
      </c>
      <c r="Q72" s="286">
        <f>'Initial unit rates'!Q199</f>
        <v>0</v>
      </c>
      <c r="R72" s="286">
        <f>'Initial unit rates'!R199</f>
        <v>0</v>
      </c>
      <c r="S72" s="286">
        <f>'Initial unit rates'!S199</f>
        <v>0</v>
      </c>
      <c r="T72" s="286">
        <f>'Initial unit rates'!T199</f>
        <v>0</v>
      </c>
      <c r="U72" s="286">
        <f>'Initial unit rates'!U199</f>
        <v>0</v>
      </c>
      <c r="V72" s="286">
        <f>'Initial unit rates'!V199</f>
        <v>0</v>
      </c>
      <c r="W72" s="286">
        <f>'Initial unit rates'!W199</f>
        <v>0</v>
      </c>
      <c r="X72" s="286">
        <f>'Initial unit rates'!X199</f>
        <v>0</v>
      </c>
      <c r="Y72" s="286">
        <f>'Initial unit rates'!Y199</f>
        <v>0</v>
      </c>
      <c r="Z72" s="286">
        <f>'Initial unit rates'!Z199</f>
        <v>0</v>
      </c>
      <c r="AA72" s="286">
        <f>'Initial unit rates'!AA199</f>
        <v>0</v>
      </c>
      <c r="AB72" s="286">
        <f>'Initial unit rates'!AB199</f>
        <v>0</v>
      </c>
      <c r="AC72" s="271"/>
      <c r="AD72" s="271"/>
    </row>
    <row r="73" spans="3:30" x14ac:dyDescent="0.25">
      <c r="D73"/>
      <c r="F73" t="s">
        <v>196</v>
      </c>
      <c r="G73" t="s">
        <v>268</v>
      </c>
      <c r="H73" s="271"/>
      <c r="I73" s="271"/>
      <c r="J73" s="286">
        <f>'Initial unit rates'!J200</f>
        <v>0.15427465541852464</v>
      </c>
      <c r="K73" s="286">
        <f>'Initial unit rates'!K200</f>
        <v>0.15427465541852464</v>
      </c>
      <c r="L73" s="286">
        <f>'Initial unit rates'!L200</f>
        <v>0.1791907930582243</v>
      </c>
      <c r="M73" s="286">
        <f>'Initial unit rates'!M200</f>
        <v>0.1791907930582243</v>
      </c>
      <c r="N73" s="286">
        <f>'Initial unit rates'!N200</f>
        <v>0.13851937525229766</v>
      </c>
      <c r="O73" s="286">
        <f>'Initial unit rates'!O200</f>
        <v>0.1126631315891541</v>
      </c>
      <c r="P73" s="286">
        <f>'Initial unit rates'!P200</f>
        <v>0.1123826770219189</v>
      </c>
      <c r="Q73" s="286">
        <f>'Initial unit rates'!Q200</f>
        <v>0.13851937525229766</v>
      </c>
      <c r="R73" s="286">
        <f>'Initial unit rates'!R200</f>
        <v>0.1126631315891541</v>
      </c>
      <c r="S73" s="286">
        <f>'Initial unit rates'!S200</f>
        <v>0.1123826770219189</v>
      </c>
      <c r="T73" s="286">
        <f>'Initial unit rates'!T200</f>
        <v>0.11762468504528174</v>
      </c>
      <c r="U73" s="286">
        <f>'Initial unit rates'!U200</f>
        <v>-0.11032254576827975</v>
      </c>
      <c r="V73" s="286">
        <f>'Initial unit rates'!V200</f>
        <v>-0.10489684679606927</v>
      </c>
      <c r="W73" s="286">
        <f>'Initial unit rates'!W200</f>
        <v>-0.11032254576827975</v>
      </c>
      <c r="X73" s="286">
        <f>'Initial unit rates'!X200</f>
        <v>-0.11032254576827975</v>
      </c>
      <c r="Y73" s="286">
        <f>'Initial unit rates'!Y200</f>
        <v>-0.10489684679606927</v>
      </c>
      <c r="Z73" s="286">
        <f>'Initial unit rates'!Z200</f>
        <v>-0.10489684679606927</v>
      </c>
      <c r="AA73" s="286">
        <f>'Initial unit rates'!AA200</f>
        <v>0</v>
      </c>
      <c r="AB73" s="286">
        <f>'Initial unit rates'!AB200</f>
        <v>0</v>
      </c>
      <c r="AC73" s="271"/>
      <c r="AD73" s="271"/>
    </row>
    <row r="74" spans="3:30" x14ac:dyDescent="0.25">
      <c r="D74"/>
      <c r="F74" t="s">
        <v>197</v>
      </c>
      <c r="G74" t="s">
        <v>268</v>
      </c>
      <c r="H74" s="271"/>
      <c r="I74" s="271"/>
      <c r="J74" s="286">
        <f>'Initial unit rates'!J201</f>
        <v>3.8773589259178273E-2</v>
      </c>
      <c r="K74" s="286">
        <f>'Initial unit rates'!K201</f>
        <v>3.8773589259178273E-2</v>
      </c>
      <c r="L74" s="286">
        <f>'Initial unit rates'!L201</f>
        <v>4.5035720159072423E-2</v>
      </c>
      <c r="M74" s="286">
        <f>'Initial unit rates'!M201</f>
        <v>4.5035720159072423E-2</v>
      </c>
      <c r="N74" s="286">
        <f>'Initial unit rates'!N201</f>
        <v>3.4813841235944575E-2</v>
      </c>
      <c r="O74" s="286">
        <f>'Initial unit rates'!O201</f>
        <v>2.8315435072856953E-2</v>
      </c>
      <c r="P74" s="286">
        <f>'Initial unit rates'!P201</f>
        <v>0</v>
      </c>
      <c r="Q74" s="286">
        <f>'Initial unit rates'!Q201</f>
        <v>3.4813841235944575E-2</v>
      </c>
      <c r="R74" s="286">
        <f>'Initial unit rates'!R201</f>
        <v>2.8315435072856953E-2</v>
      </c>
      <c r="S74" s="286">
        <f>'Initial unit rates'!S201</f>
        <v>0</v>
      </c>
      <c r="T74" s="286">
        <f>'Initial unit rates'!T201</f>
        <v>2.9562413944878786E-2</v>
      </c>
      <c r="U74" s="286">
        <f>'Initial unit rates'!U201</f>
        <v>-2.7727179581387928E-2</v>
      </c>
      <c r="V74" s="286">
        <f>'Initial unit rates'!V201</f>
        <v>0</v>
      </c>
      <c r="W74" s="286">
        <f>'Initial unit rates'!W201</f>
        <v>-2.7727179581387928E-2</v>
      </c>
      <c r="X74" s="286">
        <f>'Initial unit rates'!X201</f>
        <v>-2.7727179581387928E-2</v>
      </c>
      <c r="Y74" s="286">
        <f>'Initial unit rates'!Y201</f>
        <v>0</v>
      </c>
      <c r="Z74" s="286">
        <f>'Initial unit rates'!Z201</f>
        <v>0</v>
      </c>
      <c r="AA74" s="286">
        <f>'Initial unit rates'!AA201</f>
        <v>0</v>
      </c>
      <c r="AB74" s="286">
        <f>'Initial unit rates'!AB201</f>
        <v>0</v>
      </c>
      <c r="AC74" s="271"/>
      <c r="AD74" s="271"/>
    </row>
    <row r="75" spans="3:30" x14ac:dyDescent="0.25">
      <c r="D75"/>
      <c r="F75" t="s">
        <v>198</v>
      </c>
      <c r="G75" t="s">
        <v>268</v>
      </c>
      <c r="H75" s="271"/>
      <c r="I75" s="271"/>
      <c r="J75" s="286">
        <f>'Initial unit rates'!J202</f>
        <v>6.5218402997648611E-2</v>
      </c>
      <c r="K75" s="286">
        <f>'Initial unit rates'!K202</f>
        <v>6.5218402997648611E-2</v>
      </c>
      <c r="L75" s="286">
        <f>'Initial unit rates'!L202</f>
        <v>7.575150515446398E-2</v>
      </c>
      <c r="M75" s="286">
        <f>'Initial unit rates'!M202</f>
        <v>7.575150515446398E-2</v>
      </c>
      <c r="N75" s="286">
        <f>'Initial unit rates'!N202</f>
        <v>5.8557981631389179E-2</v>
      </c>
      <c r="O75" s="286">
        <f>'Initial unit rates'!O202</f>
        <v>0</v>
      </c>
      <c r="P75" s="286">
        <f>'Initial unit rates'!P202</f>
        <v>0</v>
      </c>
      <c r="Q75" s="286">
        <f>'Initial unit rates'!Q202</f>
        <v>5.8557981631389179E-2</v>
      </c>
      <c r="R75" s="286">
        <f>'Initial unit rates'!R202</f>
        <v>0</v>
      </c>
      <c r="S75" s="286">
        <f>'Initial unit rates'!S202</f>
        <v>0</v>
      </c>
      <c r="T75" s="286">
        <f>'Initial unit rates'!T202</f>
        <v>4.9724914898973988E-2</v>
      </c>
      <c r="U75" s="286">
        <f>'Initial unit rates'!U202</f>
        <v>0</v>
      </c>
      <c r="V75" s="286">
        <f>'Initial unit rates'!V202</f>
        <v>0</v>
      </c>
      <c r="W75" s="286">
        <f>'Initial unit rates'!W202</f>
        <v>0</v>
      </c>
      <c r="X75" s="286">
        <f>'Initial unit rates'!X202</f>
        <v>0</v>
      </c>
      <c r="Y75" s="286">
        <f>'Initial unit rates'!Y202</f>
        <v>0</v>
      </c>
      <c r="Z75" s="286">
        <f>'Initial unit rates'!Z202</f>
        <v>0</v>
      </c>
      <c r="AA75" s="286">
        <f>'Initial unit rates'!AA202</f>
        <v>0</v>
      </c>
      <c r="AB75" s="286">
        <f>'Initial unit rates'!AB202</f>
        <v>0</v>
      </c>
      <c r="AC75" s="271"/>
      <c r="AD75" s="271"/>
    </row>
    <row r="76" spans="3:30" x14ac:dyDescent="0.25">
      <c r="D76"/>
      <c r="F76" s="23" t="s">
        <v>375</v>
      </c>
      <c r="G76" s="23" t="s">
        <v>268</v>
      </c>
      <c r="H76" s="269"/>
      <c r="I76" s="269" t="s">
        <v>153</v>
      </c>
      <c r="J76" s="287"/>
      <c r="K76" s="287"/>
      <c r="L76" s="287"/>
      <c r="M76" s="287"/>
      <c r="N76" s="287"/>
      <c r="O76" s="287"/>
      <c r="P76" s="287"/>
      <c r="Q76" s="287"/>
      <c r="R76" s="287"/>
      <c r="S76" s="287"/>
      <c r="T76" s="285">
        <f>'Service model charges'!$T$44</f>
        <v>0.42942896297178434</v>
      </c>
      <c r="U76" s="287"/>
      <c r="V76" s="287"/>
      <c r="W76" s="287"/>
      <c r="X76" s="287"/>
      <c r="Y76" s="287"/>
      <c r="Z76" s="287"/>
      <c r="AA76" s="287"/>
      <c r="AB76" s="287"/>
      <c r="AC76" s="271"/>
      <c r="AD76" s="271" t="s">
        <v>653</v>
      </c>
    </row>
    <row r="77" spans="3:30" x14ac:dyDescent="0.25">
      <c r="D77"/>
      <c r="F77" s="37" t="s">
        <v>376</v>
      </c>
      <c r="G77" s="37" t="s">
        <v>268</v>
      </c>
      <c r="H77" s="275"/>
      <c r="I77" s="275"/>
      <c r="J77" s="276"/>
      <c r="K77" s="276"/>
      <c r="L77" s="276"/>
      <c r="M77" s="276"/>
      <c r="N77" s="276"/>
      <c r="O77" s="276"/>
      <c r="P77" s="276"/>
      <c r="Q77" s="276"/>
      <c r="R77" s="276"/>
      <c r="S77" s="276"/>
      <c r="T77" s="276"/>
      <c r="U77" s="276"/>
      <c r="V77" s="276"/>
      <c r="W77" s="276"/>
      <c r="X77" s="276"/>
      <c r="Y77" s="276"/>
      <c r="Z77" s="276"/>
      <c r="AA77" s="276"/>
      <c r="AB77" s="276"/>
      <c r="AC77" s="271"/>
      <c r="AD77" s="271"/>
    </row>
    <row r="78" spans="3:30" x14ac:dyDescent="0.25">
      <c r="J78" s="89"/>
      <c r="K78" s="89"/>
      <c r="L78" s="89"/>
      <c r="M78" s="89"/>
      <c r="N78" s="89"/>
      <c r="O78" s="89"/>
      <c r="P78" s="89"/>
      <c r="Q78" s="89"/>
      <c r="R78" s="89"/>
      <c r="S78" s="89"/>
      <c r="T78" s="89"/>
      <c r="U78" s="89"/>
      <c r="V78" s="89"/>
      <c r="W78" s="89"/>
      <c r="X78" s="89"/>
      <c r="Y78" s="89"/>
      <c r="Z78" s="89"/>
      <c r="AA78" s="89"/>
      <c r="AB78" s="89"/>
    </row>
    <row r="79" spans="3:30" x14ac:dyDescent="0.25">
      <c r="C79" s="31" t="str">
        <f ca="1">INDEX('Version control'!$H$34:$H$57,MATCH($A$1,'Version control'!$F$34:$F$57,0),1)&amp;"-C: Initial unit rate 3"</f>
        <v>Section 111-C: Initial unit rate 3</v>
      </c>
      <c r="D79" s="31"/>
      <c r="E79" s="31"/>
      <c r="F79" s="31"/>
      <c r="G79" s="31"/>
      <c r="H79" s="31"/>
      <c r="I79" s="31"/>
      <c r="J79" s="90"/>
      <c r="K79" s="90"/>
      <c r="L79" s="90"/>
      <c r="M79" s="90"/>
      <c r="N79" s="90"/>
      <c r="O79" s="90"/>
      <c r="P79" s="90"/>
      <c r="Q79" s="90"/>
      <c r="R79" s="90"/>
      <c r="S79" s="90"/>
      <c r="T79" s="90"/>
      <c r="U79" s="90"/>
      <c r="V79" s="90"/>
      <c r="W79" s="90"/>
      <c r="X79" s="90"/>
      <c r="Y79" s="90"/>
      <c r="Z79" s="90"/>
      <c r="AA79" s="90"/>
      <c r="AB79" s="90"/>
      <c r="AC79" s="31"/>
      <c r="AD79" s="31"/>
    </row>
    <row r="80" spans="3:30" x14ac:dyDescent="0.25">
      <c r="D80" s="32"/>
      <c r="E80" s="32"/>
      <c r="J80" s="89"/>
      <c r="K80" s="89"/>
      <c r="L80" s="89"/>
      <c r="M80" s="89"/>
      <c r="N80" s="89"/>
      <c r="O80" s="89"/>
      <c r="P80" s="89"/>
      <c r="Q80" s="89"/>
      <c r="R80" s="89"/>
      <c r="S80" s="89"/>
      <c r="T80" s="89"/>
      <c r="U80" s="89"/>
      <c r="V80" s="89"/>
      <c r="W80" s="89"/>
      <c r="X80" s="89"/>
      <c r="Y80" s="89"/>
      <c r="Z80" s="89"/>
      <c r="AA80" s="89"/>
      <c r="AB80" s="89"/>
    </row>
    <row r="81" spans="4:30" x14ac:dyDescent="0.25">
      <c r="D81"/>
      <c r="E81" s="32" t="s">
        <v>620</v>
      </c>
      <c r="J81" s="89"/>
      <c r="K81" s="89"/>
      <c r="L81" s="89"/>
      <c r="M81" s="89"/>
      <c r="N81" s="89"/>
      <c r="O81" s="89"/>
      <c r="P81" s="89"/>
      <c r="Q81" s="89"/>
      <c r="R81" s="89"/>
      <c r="S81" s="89"/>
      <c r="T81" s="89"/>
      <c r="U81" s="89"/>
      <c r="V81" s="89"/>
      <c r="W81" s="89"/>
      <c r="X81" s="89"/>
      <c r="Y81" s="89"/>
      <c r="Z81" s="89"/>
      <c r="AA81" s="89"/>
      <c r="AB81" s="89"/>
    </row>
    <row r="82" spans="4:30" x14ac:dyDescent="0.25">
      <c r="D82"/>
      <c r="F82" s="23" t="s">
        <v>188</v>
      </c>
      <c r="G82" s="23" t="s">
        <v>268</v>
      </c>
      <c r="H82" s="269"/>
      <c r="I82" s="269"/>
      <c r="J82" s="285">
        <f>'Initial unit rates'!J210</f>
        <v>0</v>
      </c>
      <c r="K82" s="285">
        <f>'Initial unit rates'!K210</f>
        <v>0</v>
      </c>
      <c r="L82" s="285">
        <f>'Initial unit rates'!L210</f>
        <v>0</v>
      </c>
      <c r="M82" s="285">
        <f>'Initial unit rates'!M210</f>
        <v>0</v>
      </c>
      <c r="N82" s="285">
        <f>'Initial unit rates'!N210</f>
        <v>0</v>
      </c>
      <c r="O82" s="285">
        <f>'Initial unit rates'!O210</f>
        <v>0</v>
      </c>
      <c r="P82" s="285">
        <f>'Initial unit rates'!P210</f>
        <v>0</v>
      </c>
      <c r="Q82" s="285">
        <f>'Initial unit rates'!Q210</f>
        <v>0</v>
      </c>
      <c r="R82" s="285">
        <f>'Initial unit rates'!R210</f>
        <v>0</v>
      </c>
      <c r="S82" s="285">
        <f>'Initial unit rates'!S210</f>
        <v>0</v>
      </c>
      <c r="T82" s="285">
        <f>'Initial unit rates'!T210</f>
        <v>0</v>
      </c>
      <c r="U82" s="285">
        <f>'Initial unit rates'!U210</f>
        <v>0</v>
      </c>
      <c r="V82" s="285">
        <f>'Initial unit rates'!V210</f>
        <v>0</v>
      </c>
      <c r="W82" s="285">
        <f>'Initial unit rates'!W210</f>
        <v>0</v>
      </c>
      <c r="X82" s="285">
        <f>'Initial unit rates'!X210</f>
        <v>0</v>
      </c>
      <c r="Y82" s="285">
        <f>'Initial unit rates'!Y210</f>
        <v>0</v>
      </c>
      <c r="Z82" s="285">
        <f>'Initial unit rates'!Z210</f>
        <v>0</v>
      </c>
      <c r="AA82" s="285">
        <f>'Initial unit rates'!AA210</f>
        <v>0</v>
      </c>
      <c r="AB82" s="285">
        <f>'Initial unit rates'!AB210</f>
        <v>0</v>
      </c>
      <c r="AC82" s="271"/>
      <c r="AD82" s="271"/>
    </row>
    <row r="83" spans="4:30" x14ac:dyDescent="0.25">
      <c r="D83"/>
      <c r="F83" t="s">
        <v>190</v>
      </c>
      <c r="G83" t="s">
        <v>268</v>
      </c>
      <c r="H83" s="271"/>
      <c r="I83" s="271"/>
      <c r="J83" s="286">
        <f>'Initial unit rates'!J211</f>
        <v>0</v>
      </c>
      <c r="K83" s="286">
        <f>'Initial unit rates'!K211</f>
        <v>0</v>
      </c>
      <c r="L83" s="286">
        <f>'Initial unit rates'!L211</f>
        <v>0</v>
      </c>
      <c r="M83" s="286">
        <f>'Initial unit rates'!M211</f>
        <v>0</v>
      </c>
      <c r="N83" s="286">
        <f>'Initial unit rates'!N211</f>
        <v>0</v>
      </c>
      <c r="O83" s="286">
        <f>'Initial unit rates'!O211</f>
        <v>0</v>
      </c>
      <c r="P83" s="286">
        <f>'Initial unit rates'!P211</f>
        <v>0</v>
      </c>
      <c r="Q83" s="286">
        <f>'Initial unit rates'!Q211</f>
        <v>0</v>
      </c>
      <c r="R83" s="286">
        <f>'Initial unit rates'!R211</f>
        <v>0</v>
      </c>
      <c r="S83" s="286">
        <f>'Initial unit rates'!S211</f>
        <v>0</v>
      </c>
      <c r="T83" s="286">
        <f>'Initial unit rates'!T211</f>
        <v>0</v>
      </c>
      <c r="U83" s="286">
        <f>'Initial unit rates'!U211</f>
        <v>0</v>
      </c>
      <c r="V83" s="286">
        <f>'Initial unit rates'!V211</f>
        <v>0</v>
      </c>
      <c r="W83" s="286">
        <f>'Initial unit rates'!W211</f>
        <v>0</v>
      </c>
      <c r="X83" s="286">
        <f>'Initial unit rates'!X211</f>
        <v>0</v>
      </c>
      <c r="Y83" s="286">
        <f>'Initial unit rates'!Y211</f>
        <v>0</v>
      </c>
      <c r="Z83" s="286">
        <f>'Initial unit rates'!Z211</f>
        <v>0</v>
      </c>
      <c r="AA83" s="286">
        <f>'Initial unit rates'!AA211</f>
        <v>0</v>
      </c>
      <c r="AB83" s="286">
        <f>'Initial unit rates'!AB211</f>
        <v>0</v>
      </c>
      <c r="AC83" s="271"/>
      <c r="AD83" s="271"/>
    </row>
    <row r="84" spans="4:30" x14ac:dyDescent="0.25">
      <c r="D84"/>
      <c r="F84" t="s">
        <v>191</v>
      </c>
      <c r="G84" t="s">
        <v>268</v>
      </c>
      <c r="H84" s="271"/>
      <c r="I84" s="271"/>
      <c r="J84" s="286">
        <f>'Initial unit rates'!J212</f>
        <v>0</v>
      </c>
      <c r="K84" s="286">
        <f>'Initial unit rates'!K212</f>
        <v>0</v>
      </c>
      <c r="L84" s="286">
        <f>'Initial unit rates'!L212</f>
        <v>0</v>
      </c>
      <c r="M84" s="286">
        <f>'Initial unit rates'!M212</f>
        <v>0</v>
      </c>
      <c r="N84" s="286">
        <f>'Initial unit rates'!N212</f>
        <v>0</v>
      </c>
      <c r="O84" s="286">
        <f>'Initial unit rates'!O212</f>
        <v>0</v>
      </c>
      <c r="P84" s="286">
        <f>'Initial unit rates'!P212</f>
        <v>0</v>
      </c>
      <c r="Q84" s="286">
        <f>'Initial unit rates'!Q212</f>
        <v>0</v>
      </c>
      <c r="R84" s="286">
        <f>'Initial unit rates'!R212</f>
        <v>0</v>
      </c>
      <c r="S84" s="286">
        <f>'Initial unit rates'!S212</f>
        <v>0</v>
      </c>
      <c r="T84" s="286">
        <f>'Initial unit rates'!T212</f>
        <v>0</v>
      </c>
      <c r="U84" s="286">
        <f>'Initial unit rates'!U212</f>
        <v>0</v>
      </c>
      <c r="V84" s="286">
        <f>'Initial unit rates'!V212</f>
        <v>0</v>
      </c>
      <c r="W84" s="286">
        <f>'Initial unit rates'!W212</f>
        <v>0</v>
      </c>
      <c r="X84" s="286">
        <f>'Initial unit rates'!X212</f>
        <v>0</v>
      </c>
      <c r="Y84" s="286">
        <f>'Initial unit rates'!Y212</f>
        <v>0</v>
      </c>
      <c r="Z84" s="286">
        <f>'Initial unit rates'!Z212</f>
        <v>0</v>
      </c>
      <c r="AA84" s="286">
        <f>'Initial unit rates'!AA212</f>
        <v>0</v>
      </c>
      <c r="AB84" s="286">
        <f>'Initial unit rates'!AB212</f>
        <v>0</v>
      </c>
      <c r="AC84" s="271"/>
      <c r="AD84" s="271"/>
    </row>
    <row r="85" spans="4:30" x14ac:dyDescent="0.25">
      <c r="D85"/>
      <c r="F85" t="s">
        <v>192</v>
      </c>
      <c r="G85" t="s">
        <v>268</v>
      </c>
      <c r="H85" s="271"/>
      <c r="I85" s="271"/>
      <c r="J85" s="286">
        <f>'Initial unit rates'!J213</f>
        <v>0</v>
      </c>
      <c r="K85" s="286">
        <f>'Initial unit rates'!K213</f>
        <v>0</v>
      </c>
      <c r="L85" s="286">
        <f>'Initial unit rates'!L213</f>
        <v>0</v>
      </c>
      <c r="M85" s="286">
        <f>'Initial unit rates'!M213</f>
        <v>0</v>
      </c>
      <c r="N85" s="286">
        <f>'Initial unit rates'!N213</f>
        <v>0</v>
      </c>
      <c r="O85" s="286">
        <f>'Initial unit rates'!O213</f>
        <v>0</v>
      </c>
      <c r="P85" s="286">
        <f>'Initial unit rates'!P213</f>
        <v>0</v>
      </c>
      <c r="Q85" s="286">
        <f>'Initial unit rates'!Q213</f>
        <v>0</v>
      </c>
      <c r="R85" s="286">
        <f>'Initial unit rates'!R213</f>
        <v>0</v>
      </c>
      <c r="S85" s="286">
        <f>'Initial unit rates'!S213</f>
        <v>0</v>
      </c>
      <c r="T85" s="286">
        <f>'Initial unit rates'!T213</f>
        <v>0</v>
      </c>
      <c r="U85" s="286">
        <f>'Initial unit rates'!U213</f>
        <v>0</v>
      </c>
      <c r="V85" s="286">
        <f>'Initial unit rates'!V213</f>
        <v>0</v>
      </c>
      <c r="W85" s="286">
        <f>'Initial unit rates'!W213</f>
        <v>0</v>
      </c>
      <c r="X85" s="286">
        <f>'Initial unit rates'!X213</f>
        <v>0</v>
      </c>
      <c r="Y85" s="286">
        <f>'Initial unit rates'!Y213</f>
        <v>0</v>
      </c>
      <c r="Z85" s="286">
        <f>'Initial unit rates'!Z213</f>
        <v>0</v>
      </c>
      <c r="AA85" s="286">
        <f>'Initial unit rates'!AA213</f>
        <v>0</v>
      </c>
      <c r="AB85" s="286">
        <f>'Initial unit rates'!AB213</f>
        <v>0</v>
      </c>
      <c r="AC85" s="271"/>
      <c r="AD85" s="271"/>
    </row>
    <row r="86" spans="4:30" x14ac:dyDescent="0.25">
      <c r="D86"/>
      <c r="F86" t="s">
        <v>193</v>
      </c>
      <c r="G86" t="s">
        <v>268</v>
      </c>
      <c r="H86" s="271"/>
      <c r="I86" s="271"/>
      <c r="J86" s="286">
        <f>'Initial unit rates'!J214</f>
        <v>2.3063648481960884E-3</v>
      </c>
      <c r="K86" s="286">
        <f>'Initial unit rates'!K214</f>
        <v>2.3063648481960884E-3</v>
      </c>
      <c r="L86" s="286">
        <f>'Initial unit rates'!L214</f>
        <v>2.6788544437756252E-3</v>
      </c>
      <c r="M86" s="286">
        <f>'Initial unit rates'!M214</f>
        <v>2.6788544437756252E-3</v>
      </c>
      <c r="N86" s="286">
        <f>'Initial unit rates'!N214</f>
        <v>2.0708276223939054E-3</v>
      </c>
      <c r="O86" s="286">
        <f>'Initial unit rates'!O214</f>
        <v>1.684283693131584E-3</v>
      </c>
      <c r="P86" s="286">
        <f>'Initial unit rates'!P214</f>
        <v>1.6278393392289501E-3</v>
      </c>
      <c r="Q86" s="286">
        <f>'Initial unit rates'!Q214</f>
        <v>2.0708276223939054E-3</v>
      </c>
      <c r="R86" s="286">
        <f>'Initial unit rates'!R214</f>
        <v>1.684283693131584E-3</v>
      </c>
      <c r="S86" s="286">
        <f>'Initial unit rates'!S214</f>
        <v>1.6278393392289501E-3</v>
      </c>
      <c r="T86" s="286">
        <f>'Initial unit rates'!T214</f>
        <v>1.8127412956928774E-3</v>
      </c>
      <c r="U86" s="286">
        <f>'Initial unit rates'!U214</f>
        <v>-1.6492925609407124E-3</v>
      </c>
      <c r="V86" s="286">
        <f>'Initial unit rates'!V214</f>
        <v>-1.5681798120419888E-3</v>
      </c>
      <c r="W86" s="286">
        <f>'Initial unit rates'!W214</f>
        <v>-1.6492925609407124E-3</v>
      </c>
      <c r="X86" s="286">
        <f>'Initial unit rates'!X214</f>
        <v>-1.6492925609407124E-3</v>
      </c>
      <c r="Y86" s="286">
        <f>'Initial unit rates'!Y214</f>
        <v>-1.5681798120419888E-3</v>
      </c>
      <c r="Z86" s="286">
        <f>'Initial unit rates'!Z214</f>
        <v>-1.5681798120419888E-3</v>
      </c>
      <c r="AA86" s="286">
        <f>'Initial unit rates'!AA214</f>
        <v>-1.4932119683628653E-3</v>
      </c>
      <c r="AB86" s="286">
        <f>'Initial unit rates'!AB214</f>
        <v>-1.4932119683628653E-3</v>
      </c>
      <c r="AC86" s="271"/>
      <c r="AD86" s="271"/>
    </row>
    <row r="87" spans="4:30" x14ac:dyDescent="0.25">
      <c r="D87"/>
      <c r="F87" t="s">
        <v>194</v>
      </c>
      <c r="G87" t="s">
        <v>268</v>
      </c>
      <c r="H87" s="271"/>
      <c r="I87" s="271"/>
      <c r="J87" s="286">
        <f>'Initial unit rates'!J215</f>
        <v>1.6495075700587941E-3</v>
      </c>
      <c r="K87" s="286">
        <f>'Initial unit rates'!K215</f>
        <v>1.6495075700587941E-3</v>
      </c>
      <c r="L87" s="286">
        <f>'Initial unit rates'!L215</f>
        <v>1.9159113908407291E-3</v>
      </c>
      <c r="M87" s="286">
        <f>'Initial unit rates'!M215</f>
        <v>1.9159113908407291E-3</v>
      </c>
      <c r="N87" s="286">
        <f>'Initial unit rates'!N215</f>
        <v>1.4810518128115279E-3</v>
      </c>
      <c r="O87" s="286">
        <f>'Initial unit rates'!O215</f>
        <v>1.2045963604241177E-3</v>
      </c>
      <c r="P87" s="286">
        <f>'Initial unit rates'!P215</f>
        <v>1.0308235481418159E-3</v>
      </c>
      <c r="Q87" s="286">
        <f>'Initial unit rates'!Q215</f>
        <v>1.4810518128115279E-3</v>
      </c>
      <c r="R87" s="286">
        <f>'Initial unit rates'!R215</f>
        <v>1.2045963604241177E-3</v>
      </c>
      <c r="S87" s="286">
        <f>'Initial unit rates'!S215</f>
        <v>1.0308235481418159E-3</v>
      </c>
      <c r="T87" s="286">
        <f>'Initial unit rates'!T215</f>
        <v>1.2964689832756962E-3</v>
      </c>
      <c r="U87" s="286">
        <f>'Initial unit rates'!U215</f>
        <v>-1.1795707720056528E-3</v>
      </c>
      <c r="V87" s="286">
        <f>'Initial unit rates'!V215</f>
        <v>-1.1215590946938995E-3</v>
      </c>
      <c r="W87" s="286">
        <f>'Initial unit rates'!W215</f>
        <v>-1.1795707720056528E-3</v>
      </c>
      <c r="X87" s="286">
        <f>'Initial unit rates'!X215</f>
        <v>-1.1795707720056528E-3</v>
      </c>
      <c r="Y87" s="286">
        <f>'Initial unit rates'!Y215</f>
        <v>-1.1215590946938995E-3</v>
      </c>
      <c r="Z87" s="286">
        <f>'Initial unit rates'!Z215</f>
        <v>-1.1215590946938995E-3</v>
      </c>
      <c r="AA87" s="286">
        <f>'Initial unit rates'!AA215</f>
        <v>-9.4557123805885939E-4</v>
      </c>
      <c r="AB87" s="286">
        <f>'Initial unit rates'!AB215</f>
        <v>-9.4557123805885939E-4</v>
      </c>
      <c r="AC87" s="271"/>
      <c r="AD87" s="271"/>
    </row>
    <row r="88" spans="4:30" x14ac:dyDescent="0.25">
      <c r="D88"/>
      <c r="F88" t="s">
        <v>195</v>
      </c>
      <c r="G88" t="s">
        <v>268</v>
      </c>
      <c r="H88" s="271"/>
      <c r="I88" s="271"/>
      <c r="J88" s="286">
        <f>'Initial unit rates'!J216</f>
        <v>0</v>
      </c>
      <c r="K88" s="286">
        <f>'Initial unit rates'!K216</f>
        <v>0</v>
      </c>
      <c r="L88" s="286">
        <f>'Initial unit rates'!L216</f>
        <v>0</v>
      </c>
      <c r="M88" s="286">
        <f>'Initial unit rates'!M216</f>
        <v>0</v>
      </c>
      <c r="N88" s="286">
        <f>'Initial unit rates'!N216</f>
        <v>0</v>
      </c>
      <c r="O88" s="286">
        <f>'Initial unit rates'!O216</f>
        <v>0</v>
      </c>
      <c r="P88" s="286">
        <f>'Initial unit rates'!P216</f>
        <v>0</v>
      </c>
      <c r="Q88" s="286">
        <f>'Initial unit rates'!Q216</f>
        <v>0</v>
      </c>
      <c r="R88" s="286">
        <f>'Initial unit rates'!R216</f>
        <v>0</v>
      </c>
      <c r="S88" s="286">
        <f>'Initial unit rates'!S216</f>
        <v>0</v>
      </c>
      <c r="T88" s="286">
        <f>'Initial unit rates'!T216</f>
        <v>0</v>
      </c>
      <c r="U88" s="286">
        <f>'Initial unit rates'!U216</f>
        <v>0</v>
      </c>
      <c r="V88" s="286">
        <f>'Initial unit rates'!V216</f>
        <v>0</v>
      </c>
      <c r="W88" s="286">
        <f>'Initial unit rates'!W216</f>
        <v>0</v>
      </c>
      <c r="X88" s="286">
        <f>'Initial unit rates'!X216</f>
        <v>0</v>
      </c>
      <c r="Y88" s="286">
        <f>'Initial unit rates'!Y216</f>
        <v>0</v>
      </c>
      <c r="Z88" s="286">
        <f>'Initial unit rates'!Z216</f>
        <v>0</v>
      </c>
      <c r="AA88" s="286">
        <f>'Initial unit rates'!AA216</f>
        <v>0</v>
      </c>
      <c r="AB88" s="286">
        <f>'Initial unit rates'!AB216</f>
        <v>0</v>
      </c>
      <c r="AC88" s="271"/>
      <c r="AD88" s="271"/>
    </row>
    <row r="89" spans="4:30" x14ac:dyDescent="0.25">
      <c r="D89"/>
      <c r="F89" t="s">
        <v>196</v>
      </c>
      <c r="G89" t="s">
        <v>268</v>
      </c>
      <c r="H89" s="271"/>
      <c r="I89" s="271"/>
      <c r="J89" s="286">
        <f>'Initial unit rates'!J217</f>
        <v>5.6723556339629807E-3</v>
      </c>
      <c r="K89" s="286">
        <f>'Initial unit rates'!K217</f>
        <v>5.6723556339629807E-3</v>
      </c>
      <c r="L89" s="286">
        <f>'Initial unit rates'!L217</f>
        <v>6.5884697768449135E-3</v>
      </c>
      <c r="M89" s="286">
        <f>'Initial unit rates'!M217</f>
        <v>6.5884697768449135E-3</v>
      </c>
      <c r="N89" s="286">
        <f>'Initial unit rates'!N217</f>
        <v>5.093067014110832E-3</v>
      </c>
      <c r="O89" s="286">
        <f>'Initial unit rates'!O217</f>
        <v>4.142387143733748E-3</v>
      </c>
      <c r="P89" s="286">
        <f>'Initial unit rates'!P217</f>
        <v>2.8355357920827429E-3</v>
      </c>
      <c r="Q89" s="286">
        <f>'Initial unit rates'!Q217</f>
        <v>5.093067014110832E-3</v>
      </c>
      <c r="R89" s="286">
        <f>'Initial unit rates'!R217</f>
        <v>4.142387143733748E-3</v>
      </c>
      <c r="S89" s="286">
        <f>'Initial unit rates'!S217</f>
        <v>2.8355357920827429E-3</v>
      </c>
      <c r="T89" s="286">
        <f>'Initial unit rates'!T217</f>
        <v>4.4583203345226413E-3</v>
      </c>
      <c r="U89" s="286">
        <f>'Initial unit rates'!U217</f>
        <v>-4.0563287102743269E-3</v>
      </c>
      <c r="V89" s="286">
        <f>'Initial unit rates'!V217</f>
        <v>-3.8568371343591953E-3</v>
      </c>
      <c r="W89" s="286">
        <f>'Initial unit rates'!W217</f>
        <v>-4.0563287102743269E-3</v>
      </c>
      <c r="X89" s="286">
        <f>'Initial unit rates'!X217</f>
        <v>-4.0563287102743269E-3</v>
      </c>
      <c r="Y89" s="286">
        <f>'Initial unit rates'!Y217</f>
        <v>-3.8568371343591953E-3</v>
      </c>
      <c r="Z89" s="286">
        <f>'Initial unit rates'!Z217</f>
        <v>-3.8568371343591953E-3</v>
      </c>
      <c r="AA89" s="286">
        <f>'Initial unit rates'!AA217</f>
        <v>0</v>
      </c>
      <c r="AB89" s="286">
        <f>'Initial unit rates'!AB217</f>
        <v>0</v>
      </c>
      <c r="AC89" s="271"/>
      <c r="AD89" s="271"/>
    </row>
    <row r="90" spans="4:30" x14ac:dyDescent="0.25">
      <c r="D90"/>
      <c r="F90" t="s">
        <v>197</v>
      </c>
      <c r="G90" t="s">
        <v>268</v>
      </c>
      <c r="H90" s="271"/>
      <c r="I90" s="271"/>
      <c r="J90" s="286">
        <f>'Initial unit rates'!J218</f>
        <v>1.3025042971959073E-3</v>
      </c>
      <c r="K90" s="286">
        <f>'Initial unit rates'!K218</f>
        <v>1.3025042971959073E-3</v>
      </c>
      <c r="L90" s="286">
        <f>'Initial unit rates'!L218</f>
        <v>1.5128653332143784E-3</v>
      </c>
      <c r="M90" s="286">
        <f>'Initial unit rates'!M218</f>
        <v>1.5128653332143784E-3</v>
      </c>
      <c r="N90" s="286">
        <f>'Initial unit rates'!N218</f>
        <v>1.1694862064125261E-3</v>
      </c>
      <c r="O90" s="286">
        <f>'Initial unit rates'!O218</f>
        <v>9.5118807838089449E-4</v>
      </c>
      <c r="P90" s="286">
        <f>'Initial unit rates'!P218</f>
        <v>0</v>
      </c>
      <c r="Q90" s="286">
        <f>'Initial unit rates'!Q218</f>
        <v>1.1694862064125261E-3</v>
      </c>
      <c r="R90" s="286">
        <f>'Initial unit rates'!R218</f>
        <v>9.5118807838089449E-4</v>
      </c>
      <c r="S90" s="286">
        <f>'Initial unit rates'!S218</f>
        <v>0</v>
      </c>
      <c r="T90" s="286">
        <f>'Initial unit rates'!T218</f>
        <v>1.0237336600023082E-3</v>
      </c>
      <c r="U90" s="286">
        <f>'Initial unit rates'!U218</f>
        <v>-9.3142706785473818E-4</v>
      </c>
      <c r="V90" s="286">
        <f>'Initial unit rates'!V218</f>
        <v>0</v>
      </c>
      <c r="W90" s="286">
        <f>'Initial unit rates'!W218</f>
        <v>-9.3142706785473818E-4</v>
      </c>
      <c r="X90" s="286">
        <f>'Initial unit rates'!X218</f>
        <v>-9.3142706785473818E-4</v>
      </c>
      <c r="Y90" s="286">
        <f>'Initial unit rates'!Y218</f>
        <v>0</v>
      </c>
      <c r="Z90" s="286">
        <f>'Initial unit rates'!Z218</f>
        <v>0</v>
      </c>
      <c r="AA90" s="286">
        <f>'Initial unit rates'!AA218</f>
        <v>0</v>
      </c>
      <c r="AB90" s="286">
        <f>'Initial unit rates'!AB218</f>
        <v>0</v>
      </c>
      <c r="AC90" s="271"/>
      <c r="AD90" s="271"/>
    </row>
    <row r="91" spans="4:30" x14ac:dyDescent="0.25">
      <c r="D91"/>
      <c r="F91" t="s">
        <v>198</v>
      </c>
      <c r="G91" t="s">
        <v>268</v>
      </c>
      <c r="H91" s="271"/>
      <c r="I91" s="271"/>
      <c r="J91" s="286">
        <f>'Initial unit rates'!J219</f>
        <v>2.2883722751945547E-4</v>
      </c>
      <c r="K91" s="286">
        <f>'Initial unit rates'!K219</f>
        <v>2.2883722751945547E-4</v>
      </c>
      <c r="L91" s="286">
        <f>'Initial unit rates'!L219</f>
        <v>2.6579559791732816E-4</v>
      </c>
      <c r="M91" s="286">
        <f>'Initial unit rates'!M219</f>
        <v>2.6579559791732816E-4</v>
      </c>
      <c r="N91" s="286">
        <f>'Initial unit rates'!N219</f>
        <v>2.0546725386920976E-4</v>
      </c>
      <c r="O91" s="286">
        <f>'Initial unit rates'!O219</f>
        <v>0</v>
      </c>
      <c r="P91" s="286">
        <f>'Initial unit rates'!P219</f>
        <v>0</v>
      </c>
      <c r="Q91" s="286">
        <f>'Initial unit rates'!Q219</f>
        <v>2.0546725386920976E-4</v>
      </c>
      <c r="R91" s="286">
        <f>'Initial unit rates'!R219</f>
        <v>0</v>
      </c>
      <c r="S91" s="286">
        <f>'Initial unit rates'!S219</f>
        <v>0</v>
      </c>
      <c r="T91" s="286">
        <f>'Initial unit rates'!T219</f>
        <v>1.7985996128966103E-4</v>
      </c>
      <c r="U91" s="286">
        <f>'Initial unit rates'!U219</f>
        <v>0</v>
      </c>
      <c r="V91" s="286">
        <f>'Initial unit rates'!V219</f>
        <v>0</v>
      </c>
      <c r="W91" s="286">
        <f>'Initial unit rates'!W219</f>
        <v>0</v>
      </c>
      <c r="X91" s="286">
        <f>'Initial unit rates'!X219</f>
        <v>0</v>
      </c>
      <c r="Y91" s="286">
        <f>'Initial unit rates'!Y219</f>
        <v>0</v>
      </c>
      <c r="Z91" s="286">
        <f>'Initial unit rates'!Z219</f>
        <v>0</v>
      </c>
      <c r="AA91" s="286">
        <f>'Initial unit rates'!AA219</f>
        <v>0</v>
      </c>
      <c r="AB91" s="286">
        <f>'Initial unit rates'!AB219</f>
        <v>0</v>
      </c>
      <c r="AC91" s="271"/>
      <c r="AD91" s="271"/>
    </row>
    <row r="92" spans="4:30" x14ac:dyDescent="0.25">
      <c r="D92"/>
      <c r="F92" s="23" t="s">
        <v>375</v>
      </c>
      <c r="G92" s="23" t="s">
        <v>268</v>
      </c>
      <c r="H92" s="269"/>
      <c r="I92" s="269"/>
      <c r="J92" s="287"/>
      <c r="K92" s="287"/>
      <c r="L92" s="287"/>
      <c r="M92" s="287"/>
      <c r="N92" s="287"/>
      <c r="O92" s="287"/>
      <c r="P92" s="287"/>
      <c r="Q92" s="287"/>
      <c r="R92" s="287"/>
      <c r="S92" s="287"/>
      <c r="T92" s="287"/>
      <c r="U92" s="287"/>
      <c r="V92" s="287"/>
      <c r="W92" s="287"/>
      <c r="X92" s="287"/>
      <c r="Y92" s="287"/>
      <c r="Z92" s="287"/>
      <c r="AA92" s="287"/>
      <c r="AB92" s="287"/>
      <c r="AC92" s="271"/>
      <c r="AD92" s="271"/>
    </row>
    <row r="93" spans="4:30" x14ac:dyDescent="0.25">
      <c r="D93"/>
      <c r="F93" s="37" t="s">
        <v>376</v>
      </c>
      <c r="G93" s="37" t="s">
        <v>268</v>
      </c>
      <c r="H93" s="275"/>
      <c r="I93" s="275"/>
      <c r="J93" s="276"/>
      <c r="K93" s="276"/>
      <c r="L93" s="276"/>
      <c r="M93" s="276"/>
      <c r="N93" s="276"/>
      <c r="O93" s="276"/>
      <c r="P93" s="276"/>
      <c r="Q93" s="276"/>
      <c r="R93" s="276"/>
      <c r="S93" s="276"/>
      <c r="T93" s="276"/>
      <c r="U93" s="276"/>
      <c r="V93" s="276"/>
      <c r="W93" s="276"/>
      <c r="X93" s="276"/>
      <c r="Y93" s="276"/>
      <c r="Z93" s="276"/>
      <c r="AA93" s="276"/>
      <c r="AB93" s="276"/>
      <c r="AC93" s="271"/>
      <c r="AD93" s="271"/>
    </row>
    <row r="94" spans="4:30" x14ac:dyDescent="0.25">
      <c r="D94"/>
      <c r="J94" s="89"/>
      <c r="K94" s="89"/>
      <c r="L94" s="89"/>
      <c r="M94" s="89"/>
      <c r="N94" s="89"/>
      <c r="O94" s="89"/>
      <c r="P94" s="89"/>
      <c r="Q94" s="89"/>
      <c r="R94" s="89"/>
      <c r="S94" s="89"/>
      <c r="T94" s="89"/>
      <c r="U94" s="89"/>
      <c r="V94" s="89"/>
      <c r="W94" s="89"/>
      <c r="X94" s="89"/>
      <c r="Y94" s="89"/>
      <c r="Z94" s="89"/>
      <c r="AA94" s="89"/>
      <c r="AB94" s="89"/>
    </row>
    <row r="95" spans="4:30" x14ac:dyDescent="0.25">
      <c r="D95"/>
      <c r="E95" s="32" t="s">
        <v>621</v>
      </c>
      <c r="J95" s="89"/>
      <c r="K95" s="89"/>
      <c r="L95" s="89"/>
      <c r="M95" s="89"/>
      <c r="N95" s="89"/>
      <c r="O95" s="89"/>
      <c r="P95" s="89"/>
      <c r="Q95" s="89"/>
      <c r="R95" s="89"/>
      <c r="S95" s="89"/>
      <c r="T95" s="89"/>
      <c r="U95" s="89"/>
      <c r="V95" s="89"/>
      <c r="W95" s="89"/>
      <c r="X95" s="89"/>
      <c r="Y95" s="89"/>
      <c r="Z95" s="89"/>
      <c r="AA95" s="89"/>
      <c r="AB95" s="89"/>
    </row>
    <row r="96" spans="4:30" x14ac:dyDescent="0.25">
      <c r="D96"/>
      <c r="F96" s="23" t="s">
        <v>188</v>
      </c>
      <c r="G96" s="23" t="s">
        <v>268</v>
      </c>
      <c r="H96" s="269"/>
      <c r="I96" s="269"/>
      <c r="J96" s="285">
        <f>'Initial unit rates'!J222</f>
        <v>2.4082353729925929E-3</v>
      </c>
      <c r="K96" s="285">
        <f>'Initial unit rates'!K222</f>
        <v>2.4082353729925929E-3</v>
      </c>
      <c r="L96" s="285">
        <f>'Initial unit rates'!L222</f>
        <v>2.7971775738971738E-3</v>
      </c>
      <c r="M96" s="285">
        <f>'Initial unit rates'!M222</f>
        <v>2.7971775738971738E-3</v>
      </c>
      <c r="N96" s="285">
        <f>'Initial unit rates'!N222</f>
        <v>2.162294632403776E-3</v>
      </c>
      <c r="O96" s="285">
        <f>'Initial unit rates'!O222</f>
        <v>1.7586773277118667E-3</v>
      </c>
      <c r="P96" s="285">
        <f>'Initial unit rates'!P222</f>
        <v>1.7542994173707232E-3</v>
      </c>
      <c r="Q96" s="285">
        <f>'Initial unit rates'!Q222</f>
        <v>2.162294632403776E-3</v>
      </c>
      <c r="R96" s="285">
        <f>'Initial unit rates'!R222</f>
        <v>1.7586773277118667E-3</v>
      </c>
      <c r="S96" s="285">
        <f>'Initial unit rates'!S222</f>
        <v>1.7542994173707232E-3</v>
      </c>
      <c r="T96" s="285">
        <f>'Initial unit rates'!T222</f>
        <v>1.8928088128755832E-3</v>
      </c>
      <c r="U96" s="285">
        <f>'Initial unit rates'!U222</f>
        <v>-1.7221406616466405E-3</v>
      </c>
      <c r="V96" s="285">
        <f>'Initial unit rates'!V222</f>
        <v>-1.637445219270576E-3</v>
      </c>
      <c r="W96" s="285">
        <f>'Initial unit rates'!W222</f>
        <v>-1.7221406616466405E-3</v>
      </c>
      <c r="X96" s="285">
        <f>'Initial unit rates'!X222</f>
        <v>-1.7221406616466405E-3</v>
      </c>
      <c r="Y96" s="285">
        <f>'Initial unit rates'!Y222</f>
        <v>-1.637445219270576E-3</v>
      </c>
      <c r="Z96" s="285">
        <f>'Initial unit rates'!Z222</f>
        <v>-1.637445219270576E-3</v>
      </c>
      <c r="AA96" s="285">
        <f>'Initial unit rates'!AA222</f>
        <v>-1.6092134051452214E-3</v>
      </c>
      <c r="AB96" s="285">
        <f>'Initial unit rates'!AB222</f>
        <v>-1.6092134051452214E-3</v>
      </c>
      <c r="AC96" s="271"/>
      <c r="AD96" s="271"/>
    </row>
    <row r="97" spans="3:45" x14ac:dyDescent="0.25">
      <c r="D97"/>
      <c r="F97" t="s">
        <v>190</v>
      </c>
      <c r="G97" t="s">
        <v>268</v>
      </c>
      <c r="H97" s="271"/>
      <c r="I97" s="271"/>
      <c r="J97" s="286">
        <f>'Initial unit rates'!J223</f>
        <v>0</v>
      </c>
      <c r="K97" s="286">
        <f>'Initial unit rates'!K223</f>
        <v>0</v>
      </c>
      <c r="L97" s="286">
        <f>'Initial unit rates'!L223</f>
        <v>0</v>
      </c>
      <c r="M97" s="286">
        <f>'Initial unit rates'!M223</f>
        <v>0</v>
      </c>
      <c r="N97" s="286">
        <f>'Initial unit rates'!N223</f>
        <v>0</v>
      </c>
      <c r="O97" s="286">
        <f>'Initial unit rates'!O223</f>
        <v>0</v>
      </c>
      <c r="P97" s="286">
        <f>'Initial unit rates'!P223</f>
        <v>0</v>
      </c>
      <c r="Q97" s="286">
        <f>'Initial unit rates'!Q223</f>
        <v>0</v>
      </c>
      <c r="R97" s="286">
        <f>'Initial unit rates'!R223</f>
        <v>0</v>
      </c>
      <c r="S97" s="286">
        <f>'Initial unit rates'!S223</f>
        <v>0</v>
      </c>
      <c r="T97" s="286">
        <f>'Initial unit rates'!T223</f>
        <v>0</v>
      </c>
      <c r="U97" s="286">
        <f>'Initial unit rates'!U223</f>
        <v>0</v>
      </c>
      <c r="V97" s="286">
        <f>'Initial unit rates'!V223</f>
        <v>0</v>
      </c>
      <c r="W97" s="286">
        <f>'Initial unit rates'!W223</f>
        <v>0</v>
      </c>
      <c r="X97" s="286">
        <f>'Initial unit rates'!X223</f>
        <v>0</v>
      </c>
      <c r="Y97" s="286">
        <f>'Initial unit rates'!Y223</f>
        <v>0</v>
      </c>
      <c r="Z97" s="286">
        <f>'Initial unit rates'!Z223</f>
        <v>0</v>
      </c>
      <c r="AA97" s="286">
        <f>'Initial unit rates'!AA223</f>
        <v>0</v>
      </c>
      <c r="AB97" s="286">
        <f>'Initial unit rates'!AB223</f>
        <v>0</v>
      </c>
      <c r="AC97" s="271"/>
      <c r="AD97" s="271"/>
    </row>
    <row r="98" spans="3:45" x14ac:dyDescent="0.25">
      <c r="D98"/>
      <c r="F98" t="s">
        <v>191</v>
      </c>
      <c r="G98" t="s">
        <v>268</v>
      </c>
      <c r="H98" s="271"/>
      <c r="I98" s="271"/>
      <c r="J98" s="286">
        <f>'Initial unit rates'!J224</f>
        <v>0</v>
      </c>
      <c r="K98" s="286">
        <f>'Initial unit rates'!K224</f>
        <v>0</v>
      </c>
      <c r="L98" s="286">
        <f>'Initial unit rates'!L224</f>
        <v>0</v>
      </c>
      <c r="M98" s="286">
        <f>'Initial unit rates'!M224</f>
        <v>0</v>
      </c>
      <c r="N98" s="286">
        <f>'Initial unit rates'!N224</f>
        <v>0</v>
      </c>
      <c r="O98" s="286">
        <f>'Initial unit rates'!O224</f>
        <v>0</v>
      </c>
      <c r="P98" s="286">
        <f>'Initial unit rates'!P224</f>
        <v>0</v>
      </c>
      <c r="Q98" s="286">
        <f>'Initial unit rates'!Q224</f>
        <v>0</v>
      </c>
      <c r="R98" s="286">
        <f>'Initial unit rates'!R224</f>
        <v>0</v>
      </c>
      <c r="S98" s="286">
        <f>'Initial unit rates'!S224</f>
        <v>0</v>
      </c>
      <c r="T98" s="286">
        <f>'Initial unit rates'!T224</f>
        <v>0</v>
      </c>
      <c r="U98" s="286">
        <f>'Initial unit rates'!U224</f>
        <v>0</v>
      </c>
      <c r="V98" s="286">
        <f>'Initial unit rates'!V224</f>
        <v>0</v>
      </c>
      <c r="W98" s="286">
        <f>'Initial unit rates'!W224</f>
        <v>0</v>
      </c>
      <c r="X98" s="286">
        <f>'Initial unit rates'!X224</f>
        <v>0</v>
      </c>
      <c r="Y98" s="286">
        <f>'Initial unit rates'!Y224</f>
        <v>0</v>
      </c>
      <c r="Z98" s="286">
        <f>'Initial unit rates'!Z224</f>
        <v>0</v>
      </c>
      <c r="AA98" s="286">
        <f>'Initial unit rates'!AA224</f>
        <v>0</v>
      </c>
      <c r="AB98" s="286">
        <f>'Initial unit rates'!AB224</f>
        <v>0</v>
      </c>
      <c r="AC98" s="271"/>
      <c r="AD98" s="271"/>
    </row>
    <row r="99" spans="3:45" x14ac:dyDescent="0.25">
      <c r="D99"/>
      <c r="F99" t="s">
        <v>192</v>
      </c>
      <c r="G99" t="s">
        <v>268</v>
      </c>
      <c r="H99" s="271"/>
      <c r="I99" s="271"/>
      <c r="J99" s="286">
        <f>'Initial unit rates'!J225</f>
        <v>0</v>
      </c>
      <c r="K99" s="286">
        <f>'Initial unit rates'!K225</f>
        <v>0</v>
      </c>
      <c r="L99" s="286">
        <f>'Initial unit rates'!L225</f>
        <v>0</v>
      </c>
      <c r="M99" s="286">
        <f>'Initial unit rates'!M225</f>
        <v>0</v>
      </c>
      <c r="N99" s="286">
        <f>'Initial unit rates'!N225</f>
        <v>0</v>
      </c>
      <c r="O99" s="286">
        <f>'Initial unit rates'!O225</f>
        <v>0</v>
      </c>
      <c r="P99" s="286">
        <f>'Initial unit rates'!P225</f>
        <v>0</v>
      </c>
      <c r="Q99" s="286">
        <f>'Initial unit rates'!Q225</f>
        <v>0</v>
      </c>
      <c r="R99" s="286">
        <f>'Initial unit rates'!R225</f>
        <v>0</v>
      </c>
      <c r="S99" s="286">
        <f>'Initial unit rates'!S225</f>
        <v>0</v>
      </c>
      <c r="T99" s="286">
        <f>'Initial unit rates'!T225</f>
        <v>0</v>
      </c>
      <c r="U99" s="286">
        <f>'Initial unit rates'!U225</f>
        <v>0</v>
      </c>
      <c r="V99" s="286">
        <f>'Initial unit rates'!V225</f>
        <v>0</v>
      </c>
      <c r="W99" s="286">
        <f>'Initial unit rates'!W225</f>
        <v>0</v>
      </c>
      <c r="X99" s="286">
        <f>'Initial unit rates'!X225</f>
        <v>0</v>
      </c>
      <c r="Y99" s="286">
        <f>'Initial unit rates'!Y225</f>
        <v>0</v>
      </c>
      <c r="Z99" s="286">
        <f>'Initial unit rates'!Z225</f>
        <v>0</v>
      </c>
      <c r="AA99" s="286">
        <f>'Initial unit rates'!AA225</f>
        <v>0</v>
      </c>
      <c r="AB99" s="286">
        <f>'Initial unit rates'!AB225</f>
        <v>0</v>
      </c>
      <c r="AC99" s="271"/>
      <c r="AD99" s="271"/>
    </row>
    <row r="100" spans="3:45" x14ac:dyDescent="0.25">
      <c r="D100"/>
      <c r="F100" t="s">
        <v>193</v>
      </c>
      <c r="G100" t="s">
        <v>268</v>
      </c>
      <c r="H100" s="271"/>
      <c r="I100" s="271"/>
      <c r="J100" s="286">
        <f>'Initial unit rates'!J226</f>
        <v>1.7045036833946514E-3</v>
      </c>
      <c r="K100" s="286">
        <f>'Initial unit rates'!K226</f>
        <v>1.7045036833946514E-3</v>
      </c>
      <c r="L100" s="286">
        <f>'Initial unit rates'!L226</f>
        <v>1.979789654817645E-3</v>
      </c>
      <c r="M100" s="286">
        <f>'Initial unit rates'!M226</f>
        <v>1.979789654817645E-3</v>
      </c>
      <c r="N100" s="286">
        <f>'Initial unit rates'!N226</f>
        <v>1.5304314548526714E-3</v>
      </c>
      <c r="O100" s="286">
        <f>'Initial unit rates'!O226</f>
        <v>1.2447587210973002E-3</v>
      </c>
      <c r="P100" s="286">
        <f>'Initial unit rates'!P226</f>
        <v>1.2416601185330591E-3</v>
      </c>
      <c r="Q100" s="286">
        <f>'Initial unit rates'!Q226</f>
        <v>1.5304314548526714E-3</v>
      </c>
      <c r="R100" s="286">
        <f>'Initial unit rates'!R226</f>
        <v>1.2447587210973002E-3</v>
      </c>
      <c r="S100" s="286">
        <f>'Initial unit rates'!S226</f>
        <v>1.2416601185330591E-3</v>
      </c>
      <c r="T100" s="286">
        <f>'Initial unit rates'!T226</f>
        <v>1.3396944624640774E-3</v>
      </c>
      <c r="U100" s="286">
        <f>'Initial unit rates'!U226</f>
        <v>-1.218898756334076E-3</v>
      </c>
      <c r="V100" s="286">
        <f>'Initial unit rates'!V226</f>
        <v>-1.1589529158586296E-3</v>
      </c>
      <c r="W100" s="286">
        <f>'Initial unit rates'!W226</f>
        <v>-1.218898756334076E-3</v>
      </c>
      <c r="X100" s="286">
        <f>'Initial unit rates'!X226</f>
        <v>-1.218898756334076E-3</v>
      </c>
      <c r="Y100" s="286">
        <f>'Initial unit rates'!Y226</f>
        <v>-1.1589529158586296E-3</v>
      </c>
      <c r="Z100" s="286">
        <f>'Initial unit rates'!Z226</f>
        <v>-1.1589529158586296E-3</v>
      </c>
      <c r="AA100" s="286">
        <f>'Initial unit rates'!AA226</f>
        <v>-1.1389709690334806E-3</v>
      </c>
      <c r="AB100" s="286">
        <f>'Initial unit rates'!AB226</f>
        <v>-1.1389709690334806E-3</v>
      </c>
      <c r="AC100" s="271"/>
      <c r="AD100" s="271"/>
    </row>
    <row r="101" spans="3:45" x14ac:dyDescent="0.25">
      <c r="D101"/>
      <c r="F101" t="s">
        <v>194</v>
      </c>
      <c r="G101" t="s">
        <v>268</v>
      </c>
      <c r="H101" s="271"/>
      <c r="I101" s="271"/>
      <c r="J101" s="286">
        <f>'Initial unit rates'!J227</f>
        <v>1.2190576574004099E-3</v>
      </c>
      <c r="K101" s="286">
        <f>'Initial unit rates'!K227</f>
        <v>1.2190576574004099E-3</v>
      </c>
      <c r="L101" s="286">
        <f>'Initial unit rates'!L227</f>
        <v>1.4159416387654474E-3</v>
      </c>
      <c r="M101" s="286">
        <f>'Initial unit rates'!M227</f>
        <v>1.4159416387654474E-3</v>
      </c>
      <c r="N101" s="286">
        <f>'Initial unit rates'!N227</f>
        <v>1.0945615444191612E-3</v>
      </c>
      <c r="O101" s="286">
        <f>'Initial unit rates'!O227</f>
        <v>8.9024897121226508E-4</v>
      </c>
      <c r="P101" s="286">
        <f>'Initial unit rates'!P227</f>
        <v>8.8803285679727264E-4</v>
      </c>
      <c r="Q101" s="286">
        <f>'Initial unit rates'!Q227</f>
        <v>1.0945615444191612E-3</v>
      </c>
      <c r="R101" s="286">
        <f>'Initial unit rates'!R227</f>
        <v>8.9024897121226508E-4</v>
      </c>
      <c r="S101" s="286">
        <f>'Initial unit rates'!S227</f>
        <v>8.8803285679727264E-4</v>
      </c>
      <c r="T101" s="286">
        <f>'Initial unit rates'!T227</f>
        <v>9.5814682535105193E-4</v>
      </c>
      <c r="U101" s="286">
        <f>'Initial unit rates'!U227</f>
        <v>-8.7175397564738066E-4</v>
      </c>
      <c r="V101" s="286">
        <f>'Initial unit rates'!V227</f>
        <v>-8.2888082930406676E-4</v>
      </c>
      <c r="W101" s="286">
        <f>'Initial unit rates'!W227</f>
        <v>-8.7175397564738066E-4</v>
      </c>
      <c r="X101" s="286">
        <f>'Initial unit rates'!X227</f>
        <v>-8.7175397564738066E-4</v>
      </c>
      <c r="Y101" s="286">
        <f>'Initial unit rates'!Y227</f>
        <v>-8.2888082930406676E-4</v>
      </c>
      <c r="Z101" s="286">
        <f>'Initial unit rates'!Z227</f>
        <v>-8.2888082930406676E-4</v>
      </c>
      <c r="AA101" s="286">
        <f>'Initial unit rates'!AA227</f>
        <v>-8.1458978052296213E-4</v>
      </c>
      <c r="AB101" s="286">
        <f>'Initial unit rates'!AB227</f>
        <v>-8.1458978052296213E-4</v>
      </c>
      <c r="AC101" s="271"/>
      <c r="AD101" s="271"/>
    </row>
    <row r="102" spans="3:45" x14ac:dyDescent="0.25">
      <c r="D102"/>
      <c r="F102" t="s">
        <v>195</v>
      </c>
      <c r="G102" t="s">
        <v>268</v>
      </c>
      <c r="H102" s="271"/>
      <c r="I102" s="271"/>
      <c r="J102" s="286">
        <f>'Initial unit rates'!J228</f>
        <v>0</v>
      </c>
      <c r="K102" s="286">
        <f>'Initial unit rates'!K228</f>
        <v>0</v>
      </c>
      <c r="L102" s="286">
        <f>'Initial unit rates'!L228</f>
        <v>0</v>
      </c>
      <c r="M102" s="286">
        <f>'Initial unit rates'!M228</f>
        <v>0</v>
      </c>
      <c r="N102" s="286">
        <f>'Initial unit rates'!N228</f>
        <v>0</v>
      </c>
      <c r="O102" s="286">
        <f>'Initial unit rates'!O228</f>
        <v>0</v>
      </c>
      <c r="P102" s="286">
        <f>'Initial unit rates'!P228</f>
        <v>0</v>
      </c>
      <c r="Q102" s="286">
        <f>'Initial unit rates'!Q228</f>
        <v>0</v>
      </c>
      <c r="R102" s="286">
        <f>'Initial unit rates'!R228</f>
        <v>0</v>
      </c>
      <c r="S102" s="286">
        <f>'Initial unit rates'!S228</f>
        <v>0</v>
      </c>
      <c r="T102" s="286">
        <f>'Initial unit rates'!T228</f>
        <v>0</v>
      </c>
      <c r="U102" s="286">
        <f>'Initial unit rates'!U228</f>
        <v>0</v>
      </c>
      <c r="V102" s="286">
        <f>'Initial unit rates'!V228</f>
        <v>0</v>
      </c>
      <c r="W102" s="286">
        <f>'Initial unit rates'!W228</f>
        <v>0</v>
      </c>
      <c r="X102" s="286">
        <f>'Initial unit rates'!X228</f>
        <v>0</v>
      </c>
      <c r="Y102" s="286">
        <f>'Initial unit rates'!Y228</f>
        <v>0</v>
      </c>
      <c r="Z102" s="286">
        <f>'Initial unit rates'!Z228</f>
        <v>0</v>
      </c>
      <c r="AA102" s="286">
        <f>'Initial unit rates'!AA228</f>
        <v>0</v>
      </c>
      <c r="AB102" s="286">
        <f>'Initial unit rates'!AB228</f>
        <v>0</v>
      </c>
      <c r="AC102" s="271"/>
      <c r="AD102" s="271"/>
    </row>
    <row r="103" spans="3:45" x14ac:dyDescent="0.25">
      <c r="D103"/>
      <c r="F103" t="s">
        <v>196</v>
      </c>
      <c r="G103" t="s">
        <v>268</v>
      </c>
      <c r="H103" s="271"/>
      <c r="I103" s="271"/>
      <c r="J103" s="286">
        <f>'Initial unit rates'!J229</f>
        <v>5.2444201935189071E-3</v>
      </c>
      <c r="K103" s="286">
        <f>'Initial unit rates'!K229</f>
        <v>5.2444201935189071E-3</v>
      </c>
      <c r="L103" s="286">
        <f>'Initial unit rates'!L229</f>
        <v>6.0914205969723884E-3</v>
      </c>
      <c r="M103" s="286">
        <f>'Initial unit rates'!M229</f>
        <v>6.0914205969723884E-3</v>
      </c>
      <c r="N103" s="286">
        <f>'Initial unit rates'!N229</f>
        <v>4.7088344277678631E-3</v>
      </c>
      <c r="O103" s="286">
        <f>'Initial unit rates'!O229</f>
        <v>3.8298760141018623E-3</v>
      </c>
      <c r="P103" s="286">
        <f>'Initial unit rates'!P229</f>
        <v>3.8203422278050604E-3</v>
      </c>
      <c r="Q103" s="286">
        <f>'Initial unit rates'!Q229</f>
        <v>4.7088344277678631E-3</v>
      </c>
      <c r="R103" s="286">
        <f>'Initial unit rates'!R229</f>
        <v>3.8298760141018623E-3</v>
      </c>
      <c r="S103" s="286">
        <f>'Initial unit rates'!S229</f>
        <v>3.8203422278050604E-3</v>
      </c>
      <c r="T103" s="286">
        <f>'Initial unit rates'!T229</f>
        <v>4.1219744847364589E-3</v>
      </c>
      <c r="U103" s="286">
        <f>'Initial unit rates'!U229</f>
        <v>-3.750310025052286E-3</v>
      </c>
      <c r="V103" s="286">
        <f>'Initial unit rates'!V229</f>
        <v>-3.5658685484103703E-3</v>
      </c>
      <c r="W103" s="286">
        <f>'Initial unit rates'!W229</f>
        <v>-3.750310025052286E-3</v>
      </c>
      <c r="X103" s="286">
        <f>'Initial unit rates'!X229</f>
        <v>-3.750310025052286E-3</v>
      </c>
      <c r="Y103" s="286">
        <f>'Initial unit rates'!Y229</f>
        <v>-3.5658685484103703E-3</v>
      </c>
      <c r="Z103" s="286">
        <f>'Initial unit rates'!Z229</f>
        <v>-3.5658685484103703E-3</v>
      </c>
      <c r="AA103" s="286">
        <f>'Initial unit rates'!AA229</f>
        <v>0</v>
      </c>
      <c r="AB103" s="286">
        <f>'Initial unit rates'!AB229</f>
        <v>0</v>
      </c>
      <c r="AC103" s="271"/>
      <c r="AD103" s="271"/>
    </row>
    <row r="104" spans="3:45" x14ac:dyDescent="0.25">
      <c r="D104"/>
      <c r="F104" t="s">
        <v>197</v>
      </c>
      <c r="G104" t="s">
        <v>268</v>
      </c>
      <c r="H104" s="271"/>
      <c r="I104" s="271"/>
      <c r="J104" s="286">
        <f>'Initial unit rates'!J230</f>
        <v>1.3180712926202751E-3</v>
      </c>
      <c r="K104" s="286">
        <f>'Initial unit rates'!K230</f>
        <v>1.3180712926202751E-3</v>
      </c>
      <c r="L104" s="286">
        <f>'Initial unit rates'!L230</f>
        <v>1.530946477184908E-3</v>
      </c>
      <c r="M104" s="286">
        <f>'Initial unit rates'!M230</f>
        <v>1.530946477184908E-3</v>
      </c>
      <c r="N104" s="286">
        <f>'Initial unit rates'!N230</f>
        <v>1.1834634243482202E-3</v>
      </c>
      <c r="O104" s="286">
        <f>'Initial unit rates'!O230</f>
        <v>9.6255628691252568E-4</v>
      </c>
      <c r="P104" s="286">
        <f>'Initial unit rates'!P230</f>
        <v>0</v>
      </c>
      <c r="Q104" s="286">
        <f>'Initial unit rates'!Q230</f>
        <v>1.1834634243482202E-3</v>
      </c>
      <c r="R104" s="286">
        <f>'Initial unit rates'!R230</f>
        <v>9.6255628691252568E-4</v>
      </c>
      <c r="S104" s="286">
        <f>'Initial unit rates'!S230</f>
        <v>0</v>
      </c>
      <c r="T104" s="286">
        <f>'Initial unit rates'!T230</f>
        <v>1.0359689034754667E-3</v>
      </c>
      <c r="U104" s="286">
        <f>'Initial unit rates'!U230</f>
        <v>-9.4255910091953666E-4</v>
      </c>
      <c r="V104" s="286">
        <f>'Initial unit rates'!V230</f>
        <v>0</v>
      </c>
      <c r="W104" s="286">
        <f>'Initial unit rates'!W230</f>
        <v>-9.4255910091953666E-4</v>
      </c>
      <c r="X104" s="286">
        <f>'Initial unit rates'!X230</f>
        <v>-9.4255910091953666E-4</v>
      </c>
      <c r="Y104" s="286">
        <f>'Initial unit rates'!Y230</f>
        <v>0</v>
      </c>
      <c r="Z104" s="286">
        <f>'Initial unit rates'!Z230</f>
        <v>0</v>
      </c>
      <c r="AA104" s="286">
        <f>'Initial unit rates'!AA230</f>
        <v>0</v>
      </c>
      <c r="AB104" s="286">
        <f>'Initial unit rates'!AB230</f>
        <v>0</v>
      </c>
      <c r="AC104" s="271"/>
      <c r="AD104" s="271"/>
    </row>
    <row r="105" spans="3:45" x14ac:dyDescent="0.25">
      <c r="D105"/>
      <c r="F105" t="s">
        <v>198</v>
      </c>
      <c r="G105" t="s">
        <v>268</v>
      </c>
      <c r="H105" s="271"/>
      <c r="I105" s="271"/>
      <c r="J105" s="286">
        <f>'Initial unit rates'!J231</f>
        <v>2.2170375862583351E-3</v>
      </c>
      <c r="K105" s="286">
        <f>'Initial unit rates'!K231</f>
        <v>2.2170375862583351E-3</v>
      </c>
      <c r="L105" s="286">
        <f>'Initial unit rates'!L231</f>
        <v>2.5751003769464232E-3</v>
      </c>
      <c r="M105" s="286">
        <f>'Initial unit rates'!M231</f>
        <v>2.5751003769464232E-3</v>
      </c>
      <c r="N105" s="286">
        <f>'Initial unit rates'!N231</f>
        <v>1.9906228960696218E-3</v>
      </c>
      <c r="O105" s="286">
        <f>'Initial unit rates'!O231</f>
        <v>0</v>
      </c>
      <c r="P105" s="286">
        <f>'Initial unit rates'!P231</f>
        <v>0</v>
      </c>
      <c r="Q105" s="286">
        <f>'Initial unit rates'!Q231</f>
        <v>1.9906228960696218E-3</v>
      </c>
      <c r="R105" s="286">
        <f>'Initial unit rates'!R231</f>
        <v>0</v>
      </c>
      <c r="S105" s="286">
        <f>'Initial unit rates'!S231</f>
        <v>0</v>
      </c>
      <c r="T105" s="286">
        <f>'Initial unit rates'!T231</f>
        <v>1.7425324487828188E-3</v>
      </c>
      <c r="U105" s="286">
        <f>'Initial unit rates'!U231</f>
        <v>0</v>
      </c>
      <c r="V105" s="286">
        <f>'Initial unit rates'!V231</f>
        <v>0</v>
      </c>
      <c r="W105" s="286">
        <f>'Initial unit rates'!W231</f>
        <v>0</v>
      </c>
      <c r="X105" s="286">
        <f>'Initial unit rates'!X231</f>
        <v>0</v>
      </c>
      <c r="Y105" s="286">
        <f>'Initial unit rates'!Y231</f>
        <v>0</v>
      </c>
      <c r="Z105" s="286">
        <f>'Initial unit rates'!Z231</f>
        <v>0</v>
      </c>
      <c r="AA105" s="286">
        <f>'Initial unit rates'!AA231</f>
        <v>0</v>
      </c>
      <c r="AB105" s="286">
        <f>'Initial unit rates'!AB231</f>
        <v>0</v>
      </c>
      <c r="AC105" s="271"/>
      <c r="AD105" s="271"/>
    </row>
    <row r="106" spans="3:45" x14ac:dyDescent="0.25">
      <c r="D106"/>
      <c r="F106" s="23" t="s">
        <v>375</v>
      </c>
      <c r="G106" s="23" t="s">
        <v>268</v>
      </c>
      <c r="H106" s="269"/>
      <c r="I106" s="269" t="s">
        <v>153</v>
      </c>
      <c r="J106" s="287"/>
      <c r="K106" s="287"/>
      <c r="L106" s="287"/>
      <c r="M106" s="287"/>
      <c r="N106" s="287"/>
      <c r="O106" s="287"/>
      <c r="P106" s="287"/>
      <c r="Q106" s="287"/>
      <c r="R106" s="287"/>
      <c r="S106" s="287"/>
      <c r="T106" s="285">
        <f>'Service model charges'!$T$44</f>
        <v>0.42942896297178434</v>
      </c>
      <c r="U106" s="287"/>
      <c r="V106" s="287"/>
      <c r="W106" s="287"/>
      <c r="X106" s="287"/>
      <c r="Y106" s="287"/>
      <c r="Z106" s="287"/>
      <c r="AA106" s="287"/>
      <c r="AB106" s="287"/>
      <c r="AC106" s="271"/>
      <c r="AD106" s="271" t="s">
        <v>653</v>
      </c>
    </row>
    <row r="107" spans="3:45" x14ac:dyDescent="0.25">
      <c r="D107"/>
      <c r="F107" s="37" t="s">
        <v>376</v>
      </c>
      <c r="G107" s="37" t="s">
        <v>268</v>
      </c>
      <c r="H107" s="275"/>
      <c r="I107" s="275"/>
      <c r="J107" s="276"/>
      <c r="K107" s="276"/>
      <c r="L107" s="276"/>
      <c r="M107" s="276"/>
      <c r="N107" s="276"/>
      <c r="O107" s="276"/>
      <c r="P107" s="276"/>
      <c r="Q107" s="276"/>
      <c r="R107" s="276"/>
      <c r="S107" s="276"/>
      <c r="T107" s="276"/>
      <c r="U107" s="276"/>
      <c r="V107" s="276"/>
      <c r="W107" s="276"/>
      <c r="X107" s="276"/>
      <c r="Y107" s="276"/>
      <c r="Z107" s="276"/>
      <c r="AA107" s="276"/>
      <c r="AB107" s="276"/>
      <c r="AC107" s="271"/>
      <c r="AD107" s="271"/>
    </row>
    <row r="109" spans="3:45" x14ac:dyDescent="0.25">
      <c r="C109" s="31" t="str">
        <f ca="1">INDEX('Version control'!$H$34:$H$57,MATCH($A$1,'Version control'!$F$34:$F$57,0),1)&amp;"-D: Standing charge factors"</f>
        <v>Section 111-D: Standing charge factors</v>
      </c>
      <c r="D109" s="31"/>
      <c r="E109" s="31"/>
      <c r="F109" s="31"/>
      <c r="G109" s="31"/>
      <c r="H109" s="31"/>
      <c r="I109" s="31"/>
      <c r="J109" s="31"/>
      <c r="K109" s="31"/>
      <c r="L109" s="31"/>
      <c r="M109" s="31"/>
      <c r="N109" s="31"/>
      <c r="O109" s="31"/>
      <c r="P109" s="31"/>
      <c r="Q109" s="31"/>
      <c r="R109" s="31"/>
      <c r="S109" s="31"/>
      <c r="T109" s="31"/>
      <c r="U109" s="31"/>
      <c r="V109" s="31"/>
      <c r="W109" s="31"/>
      <c r="X109" s="31"/>
      <c r="Y109" s="31"/>
      <c r="Z109" s="31"/>
      <c r="AA109" s="31"/>
      <c r="AB109" s="31"/>
      <c r="AC109" s="31"/>
      <c r="AD109" s="31"/>
    </row>
    <row r="110" spans="3:45" x14ac:dyDescent="0.25">
      <c r="D110" s="32"/>
      <c r="E110" s="32"/>
      <c r="J110" s="63"/>
      <c r="K110" s="63"/>
      <c r="L110" s="63"/>
      <c r="M110" s="63"/>
      <c r="N110" s="63"/>
      <c r="O110" s="63"/>
      <c r="P110" s="63"/>
      <c r="Q110" s="63"/>
      <c r="R110" s="63"/>
      <c r="S110" s="63"/>
      <c r="T110" s="63"/>
      <c r="U110" s="63"/>
      <c r="V110" s="63"/>
      <c r="W110" s="63"/>
      <c r="X110" s="63"/>
      <c r="Y110" s="63"/>
      <c r="Z110" s="63"/>
      <c r="AA110" s="63"/>
      <c r="AB110" s="63"/>
    </row>
    <row r="111" spans="3:45" x14ac:dyDescent="0.25">
      <c r="D111"/>
      <c r="E111" s="32" t="s">
        <v>119</v>
      </c>
      <c r="H111" s="14"/>
      <c r="I111" t="s">
        <v>153</v>
      </c>
      <c r="J111" s="63"/>
      <c r="L111" s="63"/>
      <c r="AD111" t="s">
        <v>202</v>
      </c>
      <c r="AS111" s="3"/>
    </row>
    <row r="112" spans="3:45" x14ac:dyDescent="0.25">
      <c r="C112" s="32"/>
      <c r="D112"/>
      <c r="E112"/>
      <c r="F112" s="23" t="s">
        <v>190</v>
      </c>
      <c r="G112" s="23" t="s">
        <v>166</v>
      </c>
      <c r="H112" s="129"/>
      <c r="I112" s="23"/>
      <c r="J112" s="107">
        <f>'Standing charge factors'!J44</f>
        <v>0</v>
      </c>
      <c r="K112" s="107">
        <f>'Standing charge factors'!K44</f>
        <v>0</v>
      </c>
      <c r="L112" s="107">
        <f>'Standing charge factors'!L44</f>
        <v>0</v>
      </c>
      <c r="M112" s="107">
        <f>'Standing charge factors'!M44</f>
        <v>0</v>
      </c>
      <c r="N112" s="107">
        <f>'Standing charge factors'!N44</f>
        <v>0</v>
      </c>
      <c r="O112" s="107">
        <f>'Standing charge factors'!O44</f>
        <v>0</v>
      </c>
      <c r="P112" s="107">
        <f>'Standing charge factors'!P44</f>
        <v>0</v>
      </c>
      <c r="Q112" s="107">
        <f>'Standing charge factors'!Q44</f>
        <v>0</v>
      </c>
      <c r="R112" s="107">
        <f>'Standing charge factors'!R44</f>
        <v>0</v>
      </c>
      <c r="S112" s="107">
        <f>'Standing charge factors'!S44</f>
        <v>0</v>
      </c>
      <c r="T112" s="107">
        <f>'Standing charge factors'!T44</f>
        <v>0</v>
      </c>
      <c r="U112" s="107">
        <f>'Standing charge factors'!U44</f>
        <v>0</v>
      </c>
      <c r="V112" s="107">
        <f>'Standing charge factors'!V44</f>
        <v>0</v>
      </c>
      <c r="W112" s="107">
        <f>'Standing charge factors'!W44</f>
        <v>0</v>
      </c>
      <c r="X112" s="107">
        <f>'Standing charge factors'!X44</f>
        <v>0</v>
      </c>
      <c r="Y112" s="107">
        <f>'Standing charge factors'!Y44</f>
        <v>0</v>
      </c>
      <c r="Z112" s="107">
        <f>'Standing charge factors'!Z44</f>
        <v>0</v>
      </c>
      <c r="AA112" s="107">
        <f>'Standing charge factors'!AA44</f>
        <v>0</v>
      </c>
      <c r="AB112" s="107">
        <f>'Standing charge factors'!AB44</f>
        <v>0</v>
      </c>
      <c r="AS112" s="3"/>
    </row>
    <row r="113" spans="2:45" x14ac:dyDescent="0.25">
      <c r="C113" s="32"/>
      <c r="D113"/>
      <c r="E113"/>
      <c r="F113" t="s">
        <v>191</v>
      </c>
      <c r="G113" t="s">
        <v>166</v>
      </c>
      <c r="H113" s="63"/>
      <c r="J113" s="25">
        <f>'Standing charge factors'!J45</f>
        <v>0</v>
      </c>
      <c r="K113" s="25">
        <f>'Standing charge factors'!K45</f>
        <v>0</v>
      </c>
      <c r="L113" s="25">
        <f>'Standing charge factors'!L45</f>
        <v>0</v>
      </c>
      <c r="M113" s="25">
        <f>'Standing charge factors'!M45</f>
        <v>0</v>
      </c>
      <c r="N113" s="25">
        <f>'Standing charge factors'!N45</f>
        <v>0</v>
      </c>
      <c r="O113" s="25">
        <f>'Standing charge factors'!O45</f>
        <v>0</v>
      </c>
      <c r="P113" s="25">
        <f>'Standing charge factors'!P45</f>
        <v>0</v>
      </c>
      <c r="Q113" s="25">
        <f>'Standing charge factors'!Q45</f>
        <v>0</v>
      </c>
      <c r="R113" s="25">
        <f>'Standing charge factors'!R45</f>
        <v>0</v>
      </c>
      <c r="S113" s="25">
        <f>'Standing charge factors'!S45</f>
        <v>0</v>
      </c>
      <c r="T113" s="25">
        <f>'Standing charge factors'!T45</f>
        <v>0</v>
      </c>
      <c r="U113" s="25">
        <f>'Standing charge factors'!U45</f>
        <v>0</v>
      </c>
      <c r="V113" s="25">
        <f>'Standing charge factors'!V45</f>
        <v>0</v>
      </c>
      <c r="W113" s="25">
        <f>'Standing charge factors'!W45</f>
        <v>0</v>
      </c>
      <c r="X113" s="25">
        <f>'Standing charge factors'!X45</f>
        <v>0</v>
      </c>
      <c r="Y113" s="25">
        <f>'Standing charge factors'!Y45</f>
        <v>0</v>
      </c>
      <c r="Z113" s="25">
        <f>'Standing charge factors'!Z45</f>
        <v>0</v>
      </c>
      <c r="AA113" s="25">
        <f>'Standing charge factors'!AA45</f>
        <v>0</v>
      </c>
      <c r="AB113" s="25">
        <f>'Standing charge factors'!AB45</f>
        <v>0</v>
      </c>
      <c r="AS113" s="3"/>
    </row>
    <row r="114" spans="2:45" x14ac:dyDescent="0.25">
      <c r="C114" s="32"/>
      <c r="D114"/>
      <c r="E114"/>
      <c r="F114" t="s">
        <v>192</v>
      </c>
      <c r="G114" t="s">
        <v>166</v>
      </c>
      <c r="H114" s="63"/>
      <c r="J114" s="25">
        <f>'Standing charge factors'!J46</f>
        <v>0</v>
      </c>
      <c r="K114" s="25">
        <f>'Standing charge factors'!K46</f>
        <v>0</v>
      </c>
      <c r="L114" s="25">
        <f>'Standing charge factors'!L46</f>
        <v>0</v>
      </c>
      <c r="M114" s="25">
        <f>'Standing charge factors'!M46</f>
        <v>0</v>
      </c>
      <c r="N114" s="25">
        <f>'Standing charge factors'!N46</f>
        <v>0</v>
      </c>
      <c r="O114" s="25">
        <f>'Standing charge factors'!O46</f>
        <v>0</v>
      </c>
      <c r="P114" s="25">
        <f>'Standing charge factors'!P46</f>
        <v>0</v>
      </c>
      <c r="Q114" s="25">
        <f>'Standing charge factors'!Q46</f>
        <v>0</v>
      </c>
      <c r="R114" s="25">
        <f>'Standing charge factors'!R46</f>
        <v>0</v>
      </c>
      <c r="S114" s="25">
        <f>'Standing charge factors'!S46</f>
        <v>0</v>
      </c>
      <c r="T114" s="25">
        <f>'Standing charge factors'!T46</f>
        <v>0</v>
      </c>
      <c r="U114" s="25">
        <f>'Standing charge factors'!U46</f>
        <v>0</v>
      </c>
      <c r="V114" s="25">
        <f>'Standing charge factors'!V46</f>
        <v>0</v>
      </c>
      <c r="W114" s="25">
        <f>'Standing charge factors'!W46</f>
        <v>0</v>
      </c>
      <c r="X114" s="25">
        <f>'Standing charge factors'!X46</f>
        <v>0</v>
      </c>
      <c r="Y114" s="25">
        <f>'Standing charge factors'!Y46</f>
        <v>0</v>
      </c>
      <c r="Z114" s="25">
        <f>'Standing charge factors'!Z46</f>
        <v>0</v>
      </c>
      <c r="AA114" s="25">
        <f>'Standing charge factors'!AA46</f>
        <v>0</v>
      </c>
      <c r="AB114" s="25">
        <f>'Standing charge factors'!AB46</f>
        <v>0</v>
      </c>
      <c r="AS114" s="3"/>
    </row>
    <row r="115" spans="2:45" x14ac:dyDescent="0.25">
      <c r="C115" s="32"/>
      <c r="D115"/>
      <c r="E115"/>
      <c r="F115" t="s">
        <v>193</v>
      </c>
      <c r="G115" t="s">
        <v>166</v>
      </c>
      <c r="H115" s="63"/>
      <c r="J115" s="25">
        <f>'Standing charge factors'!J47</f>
        <v>0</v>
      </c>
      <c r="K115" s="25">
        <f>'Standing charge factors'!K47</f>
        <v>0</v>
      </c>
      <c r="L115" s="25">
        <f>'Standing charge factors'!L47</f>
        <v>0</v>
      </c>
      <c r="M115" s="25">
        <f>'Standing charge factors'!M47</f>
        <v>0</v>
      </c>
      <c r="N115" s="25">
        <f>'Standing charge factors'!N47</f>
        <v>0</v>
      </c>
      <c r="O115" s="25">
        <f>'Standing charge factors'!O47</f>
        <v>0</v>
      </c>
      <c r="P115" s="25">
        <f>'Standing charge factors'!P47</f>
        <v>0.2</v>
      </c>
      <c r="Q115" s="25">
        <f>'Standing charge factors'!Q47</f>
        <v>0</v>
      </c>
      <c r="R115" s="25">
        <f>'Standing charge factors'!R47</f>
        <v>0</v>
      </c>
      <c r="S115" s="25">
        <f>'Standing charge factors'!S47</f>
        <v>0.2</v>
      </c>
      <c r="T115" s="25">
        <f>'Standing charge factors'!T47</f>
        <v>0</v>
      </c>
      <c r="U115" s="25">
        <f>'Standing charge factors'!U47</f>
        <v>0</v>
      </c>
      <c r="V115" s="25">
        <f>'Standing charge factors'!V47</f>
        <v>0</v>
      </c>
      <c r="W115" s="25">
        <f>'Standing charge factors'!W47</f>
        <v>0</v>
      </c>
      <c r="X115" s="25">
        <f>'Standing charge factors'!X47</f>
        <v>0</v>
      </c>
      <c r="Y115" s="25">
        <f>'Standing charge factors'!Y47</f>
        <v>0</v>
      </c>
      <c r="Z115" s="25">
        <f>'Standing charge factors'!Z47</f>
        <v>0</v>
      </c>
      <c r="AA115" s="25">
        <f>'Standing charge factors'!AA47</f>
        <v>0</v>
      </c>
      <c r="AB115" s="25">
        <f>'Standing charge factors'!AB47</f>
        <v>0</v>
      </c>
      <c r="AS115" s="3"/>
    </row>
    <row r="116" spans="2:45" x14ac:dyDescent="0.25">
      <c r="C116" s="32"/>
      <c r="D116"/>
      <c r="E116"/>
      <c r="F116" t="s">
        <v>194</v>
      </c>
      <c r="G116" t="s">
        <v>166</v>
      </c>
      <c r="H116" s="63"/>
      <c r="J116" s="25">
        <f>'Standing charge factors'!J48</f>
        <v>0</v>
      </c>
      <c r="K116" s="25">
        <f>'Standing charge factors'!K48</f>
        <v>0</v>
      </c>
      <c r="L116" s="25">
        <f>'Standing charge factors'!L48</f>
        <v>0</v>
      </c>
      <c r="M116" s="25">
        <f>'Standing charge factors'!M48</f>
        <v>0</v>
      </c>
      <c r="N116" s="25">
        <f>'Standing charge factors'!N48</f>
        <v>0</v>
      </c>
      <c r="O116" s="25">
        <f>'Standing charge factors'!O48</f>
        <v>0</v>
      </c>
      <c r="P116" s="25">
        <f>'Standing charge factors'!P48</f>
        <v>1</v>
      </c>
      <c r="Q116" s="25">
        <f>'Standing charge factors'!Q48</f>
        <v>0</v>
      </c>
      <c r="R116" s="25">
        <f>'Standing charge factors'!R48</f>
        <v>0</v>
      </c>
      <c r="S116" s="25">
        <f>'Standing charge factors'!S48</f>
        <v>1</v>
      </c>
      <c r="T116" s="25">
        <f>'Standing charge factors'!T48</f>
        <v>0</v>
      </c>
      <c r="U116" s="25">
        <f>'Standing charge factors'!U48</f>
        <v>0</v>
      </c>
      <c r="V116" s="25">
        <f>'Standing charge factors'!V48</f>
        <v>0</v>
      </c>
      <c r="W116" s="25">
        <f>'Standing charge factors'!W48</f>
        <v>0</v>
      </c>
      <c r="X116" s="25">
        <f>'Standing charge factors'!X48</f>
        <v>0</v>
      </c>
      <c r="Y116" s="25">
        <f>'Standing charge factors'!Y48</f>
        <v>0</v>
      </c>
      <c r="Z116" s="25">
        <f>'Standing charge factors'!Z48</f>
        <v>0</v>
      </c>
      <c r="AA116" s="25">
        <f>'Standing charge factors'!AA48</f>
        <v>0</v>
      </c>
      <c r="AB116" s="25">
        <f>'Standing charge factors'!AB48</f>
        <v>0</v>
      </c>
      <c r="AS116" s="3"/>
    </row>
    <row r="117" spans="2:45" x14ac:dyDescent="0.25">
      <c r="C117" s="32"/>
      <c r="D117"/>
      <c r="E117"/>
      <c r="F117" t="s">
        <v>195</v>
      </c>
      <c r="G117" t="s">
        <v>166</v>
      </c>
      <c r="H117" s="63"/>
      <c r="J117" s="25">
        <f>'Standing charge factors'!J49</f>
        <v>0</v>
      </c>
      <c r="K117" s="25">
        <f>'Standing charge factors'!K49</f>
        <v>0</v>
      </c>
      <c r="L117" s="25">
        <f>'Standing charge factors'!L49</f>
        <v>0</v>
      </c>
      <c r="M117" s="25">
        <f>'Standing charge factors'!M49</f>
        <v>0</v>
      </c>
      <c r="N117" s="25">
        <f>'Standing charge factors'!N49</f>
        <v>0</v>
      </c>
      <c r="O117" s="25">
        <f>'Standing charge factors'!O49</f>
        <v>0</v>
      </c>
      <c r="P117" s="25">
        <f>'Standing charge factors'!P49</f>
        <v>1</v>
      </c>
      <c r="Q117" s="25">
        <f>'Standing charge factors'!Q49</f>
        <v>0</v>
      </c>
      <c r="R117" s="25">
        <f>'Standing charge factors'!R49</f>
        <v>0</v>
      </c>
      <c r="S117" s="25">
        <f>'Standing charge factors'!S49</f>
        <v>1</v>
      </c>
      <c r="T117" s="25">
        <f>'Standing charge factors'!T49</f>
        <v>0</v>
      </c>
      <c r="U117" s="25">
        <f>'Standing charge factors'!U49</f>
        <v>0</v>
      </c>
      <c r="V117" s="25">
        <f>'Standing charge factors'!V49</f>
        <v>0</v>
      </c>
      <c r="W117" s="25">
        <f>'Standing charge factors'!W49</f>
        <v>0</v>
      </c>
      <c r="X117" s="25">
        <f>'Standing charge factors'!X49</f>
        <v>0</v>
      </c>
      <c r="Y117" s="25">
        <f>'Standing charge factors'!Y49</f>
        <v>0</v>
      </c>
      <c r="Z117" s="25">
        <f>'Standing charge factors'!Z49</f>
        <v>0</v>
      </c>
      <c r="AA117" s="25">
        <f>'Standing charge factors'!AA49</f>
        <v>0</v>
      </c>
      <c r="AB117" s="25">
        <f>'Standing charge factors'!AB49</f>
        <v>0</v>
      </c>
      <c r="AS117" s="3"/>
    </row>
    <row r="118" spans="2:45" x14ac:dyDescent="0.25">
      <c r="C118" s="32"/>
      <c r="D118"/>
      <c r="E118"/>
      <c r="F118" t="s">
        <v>196</v>
      </c>
      <c r="G118" t="s">
        <v>166</v>
      </c>
      <c r="H118" s="63"/>
      <c r="J118" s="25">
        <f>'Standing charge factors'!J50</f>
        <v>0</v>
      </c>
      <c r="K118" s="25">
        <f>'Standing charge factors'!K50</f>
        <v>0</v>
      </c>
      <c r="L118" s="25">
        <f>'Standing charge factors'!L50</f>
        <v>0</v>
      </c>
      <c r="M118" s="25">
        <f>'Standing charge factors'!M50</f>
        <v>0</v>
      </c>
      <c r="N118" s="25">
        <f>'Standing charge factors'!N50</f>
        <v>0.2</v>
      </c>
      <c r="O118" s="25">
        <f>'Standing charge factors'!O50</f>
        <v>1</v>
      </c>
      <c r="P118" s="25">
        <f>'Standing charge factors'!P50</f>
        <v>1</v>
      </c>
      <c r="Q118" s="25">
        <f>'Standing charge factors'!Q50</f>
        <v>0.2</v>
      </c>
      <c r="R118" s="25">
        <f>'Standing charge factors'!R50</f>
        <v>1</v>
      </c>
      <c r="S118" s="25">
        <f>'Standing charge factors'!S50</f>
        <v>1</v>
      </c>
      <c r="T118" s="25">
        <f>'Standing charge factors'!T50</f>
        <v>0</v>
      </c>
      <c r="U118" s="25">
        <f>'Standing charge factors'!U50</f>
        <v>0</v>
      </c>
      <c r="V118" s="25">
        <f>'Standing charge factors'!V50</f>
        <v>0</v>
      </c>
      <c r="W118" s="25">
        <f>'Standing charge factors'!W50</f>
        <v>0</v>
      </c>
      <c r="X118" s="25">
        <f>'Standing charge factors'!X50</f>
        <v>0</v>
      </c>
      <c r="Y118" s="25">
        <f>'Standing charge factors'!Y50</f>
        <v>0</v>
      </c>
      <c r="Z118" s="25">
        <f>'Standing charge factors'!Z50</f>
        <v>0</v>
      </c>
      <c r="AA118" s="25">
        <f>'Standing charge factors'!AA50</f>
        <v>0</v>
      </c>
      <c r="AB118" s="25">
        <f>'Standing charge factors'!AB50</f>
        <v>0</v>
      </c>
      <c r="AS118" s="3"/>
    </row>
    <row r="119" spans="2:45" x14ac:dyDescent="0.25">
      <c r="C119" s="32"/>
      <c r="D119"/>
      <c r="E119"/>
      <c r="F119" t="s">
        <v>197</v>
      </c>
      <c r="G119" t="s">
        <v>166</v>
      </c>
      <c r="H119" s="63"/>
      <c r="J119" s="25">
        <f>'Standing charge factors'!J51</f>
        <v>0</v>
      </c>
      <c r="K119" s="25">
        <f>'Standing charge factors'!K51</f>
        <v>0</v>
      </c>
      <c r="L119" s="25">
        <f>'Standing charge factors'!L51</f>
        <v>0</v>
      </c>
      <c r="M119" s="25">
        <f>'Standing charge factors'!M51</f>
        <v>0</v>
      </c>
      <c r="N119" s="25">
        <f>'Standing charge factors'!N51</f>
        <v>1</v>
      </c>
      <c r="O119" s="25">
        <f>'Standing charge factors'!O51</f>
        <v>1</v>
      </c>
      <c r="P119" s="25">
        <f>'Standing charge factors'!P51</f>
        <v>0</v>
      </c>
      <c r="Q119" s="25">
        <f>'Standing charge factors'!Q51</f>
        <v>1</v>
      </c>
      <c r="R119" s="25">
        <f>'Standing charge factors'!R51</f>
        <v>1</v>
      </c>
      <c r="S119" s="25">
        <f>'Standing charge factors'!S51</f>
        <v>0</v>
      </c>
      <c r="T119" s="25">
        <f>'Standing charge factors'!T51</f>
        <v>0</v>
      </c>
      <c r="U119" s="25">
        <f>'Standing charge factors'!U51</f>
        <v>0</v>
      </c>
      <c r="V119" s="25">
        <f>'Standing charge factors'!V51</f>
        <v>0</v>
      </c>
      <c r="W119" s="25">
        <f>'Standing charge factors'!W51</f>
        <v>0</v>
      </c>
      <c r="X119" s="25">
        <f>'Standing charge factors'!X51</f>
        <v>0</v>
      </c>
      <c r="Y119" s="25">
        <f>'Standing charge factors'!Y51</f>
        <v>0</v>
      </c>
      <c r="Z119" s="25">
        <f>'Standing charge factors'!Z51</f>
        <v>0</v>
      </c>
      <c r="AA119" s="25">
        <f>'Standing charge factors'!AA51</f>
        <v>0</v>
      </c>
      <c r="AB119" s="25">
        <f>'Standing charge factors'!AB51</f>
        <v>0</v>
      </c>
      <c r="AS119" s="3"/>
    </row>
    <row r="120" spans="2:45" x14ac:dyDescent="0.25">
      <c r="C120" s="32"/>
      <c r="D120"/>
      <c r="E120"/>
      <c r="F120" s="37" t="s">
        <v>198</v>
      </c>
      <c r="G120" s="37" t="s">
        <v>166</v>
      </c>
      <c r="H120" s="130"/>
      <c r="I120" s="37"/>
      <c r="J120" s="141">
        <f>'Standing charge factors'!J52</f>
        <v>1</v>
      </c>
      <c r="K120" s="141">
        <f>'Standing charge factors'!K52</f>
        <v>1</v>
      </c>
      <c r="L120" s="141">
        <f>'Standing charge factors'!L52</f>
        <v>1</v>
      </c>
      <c r="M120" s="141">
        <f>'Standing charge factors'!M52</f>
        <v>1</v>
      </c>
      <c r="N120" s="141">
        <f>'Standing charge factors'!N52</f>
        <v>1</v>
      </c>
      <c r="O120" s="141">
        <f>'Standing charge factors'!O52</f>
        <v>0</v>
      </c>
      <c r="P120" s="141">
        <f>'Standing charge factors'!P52</f>
        <v>0</v>
      </c>
      <c r="Q120" s="141">
        <f>'Standing charge factors'!Q52</f>
        <v>1</v>
      </c>
      <c r="R120" s="141">
        <f>'Standing charge factors'!R52</f>
        <v>0</v>
      </c>
      <c r="S120" s="141">
        <f>'Standing charge factors'!S52</f>
        <v>0</v>
      </c>
      <c r="T120" s="141">
        <f>'Standing charge factors'!T52</f>
        <v>0</v>
      </c>
      <c r="U120" s="141">
        <f>'Standing charge factors'!U52</f>
        <v>0</v>
      </c>
      <c r="V120" s="141">
        <f>'Standing charge factors'!V52</f>
        <v>0</v>
      </c>
      <c r="W120" s="141">
        <f>'Standing charge factors'!W52</f>
        <v>0</v>
      </c>
      <c r="X120" s="141">
        <f>'Standing charge factors'!X52</f>
        <v>0</v>
      </c>
      <c r="Y120" s="141">
        <f>'Standing charge factors'!Y52</f>
        <v>0</v>
      </c>
      <c r="Z120" s="141">
        <f>'Standing charge factors'!Z52</f>
        <v>0</v>
      </c>
      <c r="AA120" s="141">
        <f>'Standing charge factors'!AA52</f>
        <v>0</v>
      </c>
      <c r="AB120" s="141">
        <f>'Standing charge factors'!AB52</f>
        <v>0</v>
      </c>
      <c r="AS120" s="3"/>
    </row>
    <row r="122" spans="2:45" x14ac:dyDescent="0.25">
      <c r="B122" s="30" t="s">
        <v>654</v>
      </c>
      <c r="C122" s="30"/>
      <c r="D122" s="30"/>
      <c r="E122" s="30"/>
      <c r="F122" s="30"/>
      <c r="G122" s="30"/>
      <c r="H122" s="30"/>
      <c r="I122" s="30"/>
      <c r="J122" s="30"/>
      <c r="K122" s="30"/>
      <c r="L122" s="30"/>
      <c r="M122" s="30"/>
      <c r="N122" s="30"/>
      <c r="O122" s="30"/>
      <c r="P122" s="30"/>
      <c r="Q122" s="30"/>
      <c r="R122" s="30"/>
      <c r="S122" s="30"/>
      <c r="T122" s="30"/>
      <c r="U122" s="30"/>
      <c r="V122" s="30"/>
      <c r="W122" s="30"/>
      <c r="X122" s="30"/>
      <c r="Y122" s="30"/>
      <c r="Z122" s="30"/>
      <c r="AA122" s="30"/>
      <c r="AB122" s="30"/>
      <c r="AC122" s="30"/>
      <c r="AD122" s="30"/>
    </row>
    <row r="124" spans="2:45" x14ac:dyDescent="0.25">
      <c r="C124" s="31" t="str">
        <f ca="1">INDEX('Version control'!$H$34:$H$57,MATCH($A$1,'Version control'!$F$34:$F$57,0),1)&amp;"-E: Contributions to unit rate 1 p/kWh by network level (taking account of standing charges)"</f>
        <v>Section 111-E: Contributions to unit rate 1 p/kWh by network level (taking account of standing charges)</v>
      </c>
      <c r="D124" s="31"/>
      <c r="E124" s="31"/>
      <c r="F124" s="31"/>
      <c r="G124" s="31"/>
      <c r="H124" s="31"/>
      <c r="I124" s="31"/>
      <c r="J124" s="31"/>
      <c r="K124" s="31"/>
      <c r="L124" s="31"/>
      <c r="M124" s="31"/>
      <c r="N124" s="31"/>
      <c r="O124" s="31"/>
      <c r="P124" s="31"/>
      <c r="Q124" s="31"/>
      <c r="R124" s="31"/>
      <c r="S124" s="31"/>
      <c r="T124" s="31"/>
      <c r="U124" s="31"/>
      <c r="V124" s="31"/>
      <c r="W124" s="31"/>
      <c r="X124" s="31"/>
      <c r="Y124" s="31"/>
      <c r="Z124" s="31"/>
      <c r="AA124" s="31"/>
      <c r="AB124" s="31"/>
      <c r="AC124" s="31"/>
      <c r="AD124" s="31"/>
    </row>
    <row r="125" spans="2:45" x14ac:dyDescent="0.25">
      <c r="C125" s="32"/>
      <c r="D125"/>
      <c r="E125" s="32"/>
      <c r="I125" t="s">
        <v>153</v>
      </c>
      <c r="AD125" t="s">
        <v>655</v>
      </c>
    </row>
    <row r="126" spans="2:45" x14ac:dyDescent="0.25">
      <c r="E126" s="32" t="s">
        <v>620</v>
      </c>
    </row>
    <row r="127" spans="2:45" x14ac:dyDescent="0.25">
      <c r="F127" s="23" t="s">
        <v>188</v>
      </c>
      <c r="G127" s="23" t="s">
        <v>268</v>
      </c>
      <c r="H127" s="269"/>
      <c r="I127" s="269"/>
      <c r="J127" s="288">
        <f t="shared" ref="J127:K127" si="0">J22 * (1 - J$112)</f>
        <v>0</v>
      </c>
      <c r="K127" s="288">
        <f t="shared" si="0"/>
        <v>0</v>
      </c>
      <c r="L127" s="288">
        <f t="shared" ref="L127:M127" si="1">L22 * (1 - L$112)</f>
        <v>0</v>
      </c>
      <c r="M127" s="288">
        <f t="shared" si="1"/>
        <v>0</v>
      </c>
      <c r="N127" s="288">
        <f t="shared" ref="N127:P127" si="2">N22 * (1 - N$112)</f>
        <v>0</v>
      </c>
      <c r="O127" s="288">
        <f t="shared" si="2"/>
        <v>0</v>
      </c>
      <c r="P127" s="288">
        <f t="shared" si="2"/>
        <v>0</v>
      </c>
      <c r="Q127" s="288">
        <f t="shared" ref="Q127:S127" si="3">Q22 * (1 - Q$112)</f>
        <v>0</v>
      </c>
      <c r="R127" s="288">
        <f t="shared" si="3"/>
        <v>0</v>
      </c>
      <c r="S127" s="288">
        <f t="shared" si="3"/>
        <v>0</v>
      </c>
      <c r="T127" s="288">
        <f t="shared" ref="T127:V127" si="4">T22 * (1 - T$112)</f>
        <v>0</v>
      </c>
      <c r="U127" s="288">
        <f t="shared" si="4"/>
        <v>0</v>
      </c>
      <c r="V127" s="288">
        <f t="shared" si="4"/>
        <v>0</v>
      </c>
      <c r="W127" s="288">
        <f t="shared" ref="W127:X127" si="5">W22 * (1 - W$112)</f>
        <v>0</v>
      </c>
      <c r="X127" s="288">
        <f t="shared" si="5"/>
        <v>0</v>
      </c>
      <c r="Y127" s="288">
        <f t="shared" ref="Y127:Z127" si="6">Y22 * (1 - Y$112)</f>
        <v>0</v>
      </c>
      <c r="Z127" s="288">
        <f t="shared" si="6"/>
        <v>0</v>
      </c>
      <c r="AA127" s="288">
        <f t="shared" ref="AA127:AB127" si="7">AA22 * (1 - AA$112)</f>
        <v>0</v>
      </c>
      <c r="AB127" s="288">
        <f t="shared" si="7"/>
        <v>0</v>
      </c>
      <c r="AC127" s="271"/>
      <c r="AD127" s="271"/>
    </row>
    <row r="128" spans="2:45" x14ac:dyDescent="0.25">
      <c r="F128" t="s">
        <v>190</v>
      </c>
      <c r="G128" t="s">
        <v>268</v>
      </c>
      <c r="H128" s="271"/>
      <c r="I128" s="271"/>
      <c r="J128" s="289">
        <f t="shared" ref="J128:K128" si="8">J23 * (1 - J$112)</f>
        <v>0</v>
      </c>
      <c r="K128" s="289">
        <f t="shared" si="8"/>
        <v>0</v>
      </c>
      <c r="L128" s="289">
        <f t="shared" ref="L128:M128" si="9">L23 * (1 - L$112)</f>
        <v>0</v>
      </c>
      <c r="M128" s="289">
        <f t="shared" si="9"/>
        <v>0</v>
      </c>
      <c r="N128" s="289">
        <f t="shared" ref="N128:P128" si="10">N23 * (1 - N$112)</f>
        <v>0</v>
      </c>
      <c r="O128" s="289">
        <f t="shared" si="10"/>
        <v>0</v>
      </c>
      <c r="P128" s="289">
        <f t="shared" si="10"/>
        <v>0</v>
      </c>
      <c r="Q128" s="289">
        <f t="shared" ref="Q128:S128" si="11">Q23 * (1 - Q$112)</f>
        <v>0</v>
      </c>
      <c r="R128" s="289">
        <f t="shared" si="11"/>
        <v>0</v>
      </c>
      <c r="S128" s="289">
        <f t="shared" si="11"/>
        <v>0</v>
      </c>
      <c r="T128" s="289">
        <f t="shared" ref="T128:V128" si="12">T23 * (1 - T$112)</f>
        <v>0</v>
      </c>
      <c r="U128" s="289">
        <f t="shared" si="12"/>
        <v>0</v>
      </c>
      <c r="V128" s="289">
        <f t="shared" si="12"/>
        <v>0</v>
      </c>
      <c r="W128" s="289">
        <f t="shared" ref="W128:X128" si="13">W23 * (1 - W$112)</f>
        <v>0</v>
      </c>
      <c r="X128" s="289">
        <f t="shared" si="13"/>
        <v>0</v>
      </c>
      <c r="Y128" s="289">
        <f t="shared" ref="Y128:Z128" si="14">Y23 * (1 - Y$112)</f>
        <v>0</v>
      </c>
      <c r="Z128" s="289">
        <f t="shared" si="14"/>
        <v>0</v>
      </c>
      <c r="AA128" s="289">
        <f t="shared" ref="AA128:AB128" si="15">AA23 * (1 - AA$112)</f>
        <v>0</v>
      </c>
      <c r="AB128" s="289">
        <f t="shared" si="15"/>
        <v>0</v>
      </c>
      <c r="AC128" s="271"/>
      <c r="AD128" s="271"/>
    </row>
    <row r="129" spans="4:30" x14ac:dyDescent="0.25">
      <c r="F129" t="s">
        <v>191</v>
      </c>
      <c r="G129" t="s">
        <v>268</v>
      </c>
      <c r="H129" s="271"/>
      <c r="I129" s="271"/>
      <c r="J129" s="289">
        <f t="shared" ref="J129:K129" si="16">J24 * (1 - J$113)</f>
        <v>0</v>
      </c>
      <c r="K129" s="289">
        <f t="shared" si="16"/>
        <v>0</v>
      </c>
      <c r="L129" s="289">
        <f t="shared" ref="L129:M129" si="17">L24 * (1 - L$113)</f>
        <v>0</v>
      </c>
      <c r="M129" s="289">
        <f t="shared" si="17"/>
        <v>0</v>
      </c>
      <c r="N129" s="289">
        <f t="shared" ref="N129:P129" si="18">N24 * (1 - N$113)</f>
        <v>0</v>
      </c>
      <c r="O129" s="289">
        <f t="shared" si="18"/>
        <v>0</v>
      </c>
      <c r="P129" s="289">
        <f t="shared" si="18"/>
        <v>0</v>
      </c>
      <c r="Q129" s="289">
        <f t="shared" ref="Q129:S129" si="19">Q24 * (1 - Q$113)</f>
        <v>0</v>
      </c>
      <c r="R129" s="289">
        <f t="shared" si="19"/>
        <v>0</v>
      </c>
      <c r="S129" s="289">
        <f t="shared" si="19"/>
        <v>0</v>
      </c>
      <c r="T129" s="289">
        <f t="shared" ref="T129:V129" si="20">T24 * (1 - T$113)</f>
        <v>0</v>
      </c>
      <c r="U129" s="289">
        <f t="shared" si="20"/>
        <v>0</v>
      </c>
      <c r="V129" s="289">
        <f t="shared" si="20"/>
        <v>0</v>
      </c>
      <c r="W129" s="289">
        <f t="shared" ref="W129:X129" si="21">W24 * (1 - W$113)</f>
        <v>0</v>
      </c>
      <c r="X129" s="289">
        <f t="shared" si="21"/>
        <v>0</v>
      </c>
      <c r="Y129" s="289">
        <f t="shared" ref="Y129:Z129" si="22">Y24 * (1 - Y$113)</f>
        <v>0</v>
      </c>
      <c r="Z129" s="289">
        <f t="shared" si="22"/>
        <v>0</v>
      </c>
      <c r="AA129" s="289">
        <f t="shared" ref="AA129:AB129" si="23">AA24 * (1 - AA$113)</f>
        <v>0</v>
      </c>
      <c r="AB129" s="289">
        <f t="shared" si="23"/>
        <v>0</v>
      </c>
      <c r="AC129" s="271"/>
      <c r="AD129" s="271"/>
    </row>
    <row r="130" spans="4:30" x14ac:dyDescent="0.25">
      <c r="F130" t="s">
        <v>192</v>
      </c>
      <c r="G130" t="s">
        <v>268</v>
      </c>
      <c r="H130" s="271"/>
      <c r="I130" s="271"/>
      <c r="J130" s="289">
        <f t="shared" ref="J130:K130" si="24">J25 * (1 - J$114)</f>
        <v>0</v>
      </c>
      <c r="K130" s="289">
        <f t="shared" si="24"/>
        <v>0</v>
      </c>
      <c r="L130" s="289">
        <f t="shared" ref="L130:M130" si="25">L25 * (1 - L$114)</f>
        <v>0</v>
      </c>
      <c r="M130" s="289">
        <f t="shared" si="25"/>
        <v>0</v>
      </c>
      <c r="N130" s="289">
        <f t="shared" ref="N130:P130" si="26">N25 * (1 - N$114)</f>
        <v>0</v>
      </c>
      <c r="O130" s="289">
        <f t="shared" si="26"/>
        <v>0</v>
      </c>
      <c r="P130" s="289">
        <f t="shared" si="26"/>
        <v>0</v>
      </c>
      <c r="Q130" s="289">
        <f t="shared" ref="Q130:S130" si="27">Q25 * (1 - Q$114)</f>
        <v>0</v>
      </c>
      <c r="R130" s="289">
        <f t="shared" si="27"/>
        <v>0</v>
      </c>
      <c r="S130" s="289">
        <f t="shared" si="27"/>
        <v>0</v>
      </c>
      <c r="T130" s="289">
        <f t="shared" ref="T130:V130" si="28">T25 * (1 - T$114)</f>
        <v>0</v>
      </c>
      <c r="U130" s="289">
        <f t="shared" si="28"/>
        <v>0</v>
      </c>
      <c r="V130" s="289">
        <f t="shared" si="28"/>
        <v>0</v>
      </c>
      <c r="W130" s="289">
        <f t="shared" ref="W130:X130" si="29">W25 * (1 - W$114)</f>
        <v>0</v>
      </c>
      <c r="X130" s="289">
        <f t="shared" si="29"/>
        <v>0</v>
      </c>
      <c r="Y130" s="289">
        <f t="shared" ref="Y130:Z130" si="30">Y25 * (1 - Y$114)</f>
        <v>0</v>
      </c>
      <c r="Z130" s="289">
        <f t="shared" si="30"/>
        <v>0</v>
      </c>
      <c r="AA130" s="289">
        <f t="shared" ref="AA130:AB130" si="31">AA25 * (1 - AA$114)</f>
        <v>0</v>
      </c>
      <c r="AB130" s="289">
        <f t="shared" si="31"/>
        <v>0</v>
      </c>
      <c r="AC130" s="271"/>
      <c r="AD130" s="271"/>
    </row>
    <row r="131" spans="4:30" x14ac:dyDescent="0.25">
      <c r="F131" t="s">
        <v>193</v>
      </c>
      <c r="G131" t="s">
        <v>268</v>
      </c>
      <c r="H131" s="271"/>
      <c r="I131" s="271"/>
      <c r="J131" s="289">
        <f t="shared" ref="J131:K131" si="32">J26 * (1 - J$115)</f>
        <v>1.7958309065063878</v>
      </c>
      <c r="K131" s="289">
        <f t="shared" si="32"/>
        <v>1.7958309065063878</v>
      </c>
      <c r="L131" s="289">
        <f t="shared" ref="L131:M131" si="33">L26 * (1 - L$115)</f>
        <v>2.0858666866723046</v>
      </c>
      <c r="M131" s="289">
        <f t="shared" si="33"/>
        <v>2.0858666866723046</v>
      </c>
      <c r="N131" s="289">
        <f t="shared" ref="N131:P131" si="34">N26 * (1 - N$115)</f>
        <v>1.612431896562593</v>
      </c>
      <c r="O131" s="289">
        <f t="shared" si="34"/>
        <v>1.3114528318518921</v>
      </c>
      <c r="P131" s="289">
        <f t="shared" si="34"/>
        <v>1.014002341737301</v>
      </c>
      <c r="Q131" s="289">
        <f t="shared" ref="Q131:S131" si="35">Q26 * (1 - Q$115)</f>
        <v>1.612431896562593</v>
      </c>
      <c r="R131" s="289">
        <f t="shared" si="35"/>
        <v>1.3114528318518921</v>
      </c>
      <c r="S131" s="289">
        <f t="shared" si="35"/>
        <v>1.014002341737301</v>
      </c>
      <c r="T131" s="289">
        <f t="shared" ref="T131:V131" si="36">T26 * (1 - T$115)</f>
        <v>3.8982206606005354</v>
      </c>
      <c r="U131" s="289">
        <f t="shared" si="36"/>
        <v>-1.2842072914547749</v>
      </c>
      <c r="V131" s="289">
        <f t="shared" si="36"/>
        <v>-1.2210495558094581</v>
      </c>
      <c r="W131" s="289">
        <f t="shared" ref="W131:X131" si="37">W26 * (1 - W$115)</f>
        <v>-1.2842072914547749</v>
      </c>
      <c r="X131" s="289">
        <f t="shared" si="37"/>
        <v>-1.2842072914547749</v>
      </c>
      <c r="Y131" s="289">
        <f t="shared" ref="Y131:Z131" si="38">Y26 * (1 - Y$115)</f>
        <v>-1.2210495558094581</v>
      </c>
      <c r="Z131" s="289">
        <f t="shared" si="38"/>
        <v>-1.2210495558094581</v>
      </c>
      <c r="AA131" s="289">
        <f t="shared" ref="AA131:AB131" si="39">AA26 * (1 - AA$115)</f>
        <v>-1.1626764971069683</v>
      </c>
      <c r="AB131" s="289">
        <f t="shared" si="39"/>
        <v>-1.1626764971069683</v>
      </c>
      <c r="AC131" s="271"/>
      <c r="AD131" s="271"/>
    </row>
    <row r="132" spans="4:30" x14ac:dyDescent="0.25">
      <c r="F132" t="s">
        <v>194</v>
      </c>
      <c r="G132" t="s">
        <v>268</v>
      </c>
      <c r="H132" s="271"/>
      <c r="I132" s="271"/>
      <c r="J132" s="289">
        <f t="shared" ref="J132:K132" si="40">J27 * (1 - J$116)</f>
        <v>0.40311898458711498</v>
      </c>
      <c r="K132" s="289">
        <f t="shared" si="40"/>
        <v>0.40311898458711498</v>
      </c>
      <c r="L132" s="289">
        <f t="shared" ref="L132:M132" si="41">L27 * (1 - L$116)</f>
        <v>0.46822474079768722</v>
      </c>
      <c r="M132" s="289">
        <f t="shared" si="41"/>
        <v>0.46822474079768722</v>
      </c>
      <c r="N132" s="289">
        <f t="shared" ref="N132:P132" si="42">N27 * (1 - N$116)</f>
        <v>0.36195050798112338</v>
      </c>
      <c r="O132" s="289">
        <f t="shared" si="42"/>
        <v>0.29438825893608744</v>
      </c>
      <c r="P132" s="289">
        <f t="shared" si="42"/>
        <v>0</v>
      </c>
      <c r="Q132" s="289">
        <f t="shared" ref="Q132:S132" si="43">Q27 * (1 - Q$116)</f>
        <v>0.36195050798112338</v>
      </c>
      <c r="R132" s="289">
        <f t="shared" si="43"/>
        <v>0.29438825893608744</v>
      </c>
      <c r="S132" s="289">
        <f t="shared" si="43"/>
        <v>0</v>
      </c>
      <c r="T132" s="289">
        <f t="shared" ref="T132:V132" si="44">T27 * (1 - T$116)</f>
        <v>0.90142027187854401</v>
      </c>
      <c r="U132" s="289">
        <f t="shared" si="44"/>
        <v>-0.28827231865483915</v>
      </c>
      <c r="V132" s="289">
        <f t="shared" si="44"/>
        <v>-0.27409499150787986</v>
      </c>
      <c r="W132" s="289">
        <f t="shared" ref="W132:X132" si="45">W27 * (1 - W$116)</f>
        <v>-0.28827231865483915</v>
      </c>
      <c r="X132" s="289">
        <f t="shared" si="45"/>
        <v>-0.28827231865483915</v>
      </c>
      <c r="Y132" s="289">
        <f t="shared" ref="Y132:Z132" si="46">Y27 * (1 - Y$116)</f>
        <v>-0.27409499150787986</v>
      </c>
      <c r="Z132" s="289">
        <f t="shared" si="46"/>
        <v>-0.27409499150787986</v>
      </c>
      <c r="AA132" s="289">
        <f t="shared" ref="AA132:AB132" si="47">AA27 * (1 - AA$116)</f>
        <v>-0.23108576417596077</v>
      </c>
      <c r="AB132" s="289">
        <f t="shared" si="47"/>
        <v>-0.23108576417596077</v>
      </c>
      <c r="AC132" s="271"/>
      <c r="AD132" s="271"/>
    </row>
    <row r="133" spans="4:30" x14ac:dyDescent="0.25">
      <c r="F133" t="s">
        <v>195</v>
      </c>
      <c r="G133" t="s">
        <v>268</v>
      </c>
      <c r="H133" s="271"/>
      <c r="I133" s="271"/>
      <c r="J133" s="289">
        <f t="shared" ref="J133:K133" si="48">J28 * (1 - J$117)</f>
        <v>0</v>
      </c>
      <c r="K133" s="289">
        <f t="shared" si="48"/>
        <v>0</v>
      </c>
      <c r="L133" s="289">
        <f t="shared" ref="L133:M133" si="49">L28 * (1 - L$117)</f>
        <v>0</v>
      </c>
      <c r="M133" s="289">
        <f t="shared" si="49"/>
        <v>0</v>
      </c>
      <c r="N133" s="289">
        <f t="shared" ref="N133:P133" si="50">N28 * (1 - N$117)</f>
        <v>0</v>
      </c>
      <c r="O133" s="289">
        <f t="shared" si="50"/>
        <v>0</v>
      </c>
      <c r="P133" s="289">
        <f t="shared" si="50"/>
        <v>0</v>
      </c>
      <c r="Q133" s="289">
        <f t="shared" ref="Q133:S133" si="51">Q28 * (1 - Q$117)</f>
        <v>0</v>
      </c>
      <c r="R133" s="289">
        <f t="shared" si="51"/>
        <v>0</v>
      </c>
      <c r="S133" s="289">
        <f t="shared" si="51"/>
        <v>0</v>
      </c>
      <c r="T133" s="289">
        <f t="shared" ref="T133:V133" si="52">T28 * (1 - T$117)</f>
        <v>0</v>
      </c>
      <c r="U133" s="289">
        <f t="shared" si="52"/>
        <v>0</v>
      </c>
      <c r="V133" s="289">
        <f t="shared" si="52"/>
        <v>0</v>
      </c>
      <c r="W133" s="289">
        <f t="shared" ref="W133:X133" si="53">W28 * (1 - W$117)</f>
        <v>0</v>
      </c>
      <c r="X133" s="289">
        <f t="shared" si="53"/>
        <v>0</v>
      </c>
      <c r="Y133" s="289">
        <f t="shared" ref="Y133:Z133" si="54">Y28 * (1 - Y$117)</f>
        <v>0</v>
      </c>
      <c r="Z133" s="289">
        <f t="shared" si="54"/>
        <v>0</v>
      </c>
      <c r="AA133" s="289">
        <f t="shared" ref="AA133:AB133" si="55">AA28 * (1 - AA$117)</f>
        <v>0</v>
      </c>
      <c r="AB133" s="289">
        <f t="shared" si="55"/>
        <v>0</v>
      </c>
      <c r="AC133" s="271"/>
      <c r="AD133" s="271"/>
    </row>
    <row r="134" spans="4:30" x14ac:dyDescent="0.25">
      <c r="F134" t="s">
        <v>196</v>
      </c>
      <c r="G134" t="s">
        <v>268</v>
      </c>
      <c r="H134" s="271"/>
      <c r="I134" s="271"/>
      <c r="J134" s="289">
        <f t="shared" ref="J134:K134" si="56">J29 * (1 - J$118)</f>
        <v>1.3862526519345733</v>
      </c>
      <c r="K134" s="289">
        <f t="shared" si="56"/>
        <v>1.3862526519345733</v>
      </c>
      <c r="L134" s="289">
        <f t="shared" ref="L134:M134" si="57">L29 * (1 - L$118)</f>
        <v>1.6101394710967898</v>
      </c>
      <c r="M134" s="289">
        <f t="shared" si="57"/>
        <v>1.6101394710967898</v>
      </c>
      <c r="N134" s="289">
        <f t="shared" ref="N134:P134" si="58">N29 * (1 - N$118)</f>
        <v>0.99574541659814675</v>
      </c>
      <c r="O134" s="289">
        <f t="shared" si="58"/>
        <v>0</v>
      </c>
      <c r="P134" s="289">
        <f t="shared" si="58"/>
        <v>0</v>
      </c>
      <c r="Q134" s="289">
        <f t="shared" ref="Q134:S134" si="59">Q29 * (1 - Q$118)</f>
        <v>0.99574541659814675</v>
      </c>
      <c r="R134" s="289">
        <f t="shared" si="59"/>
        <v>0</v>
      </c>
      <c r="S134" s="289">
        <f t="shared" si="59"/>
        <v>0</v>
      </c>
      <c r="T134" s="289">
        <f t="shared" ref="T134:V134" si="60">T29 * (1 - T$118)</f>
        <v>3.0998198799272254</v>
      </c>
      <c r="U134" s="289">
        <f t="shared" si="60"/>
        <v>-0.99131591786454487</v>
      </c>
      <c r="V134" s="289">
        <f t="shared" si="60"/>
        <v>-0.94256267600235399</v>
      </c>
      <c r="W134" s="289">
        <f t="shared" ref="W134:X134" si="61">W29 * (1 - W$118)</f>
        <v>-0.99131591786454487</v>
      </c>
      <c r="X134" s="289">
        <f t="shared" si="61"/>
        <v>-0.99131591786454487</v>
      </c>
      <c r="Y134" s="289">
        <f t="shared" ref="Y134:Z134" si="62">Y29 * (1 - Y$118)</f>
        <v>-0.94256267600235399</v>
      </c>
      <c r="Z134" s="289">
        <f t="shared" si="62"/>
        <v>-0.94256267600235399</v>
      </c>
      <c r="AA134" s="289">
        <f t="shared" ref="AA134:AB134" si="63">AA29 * (1 - AA$118)</f>
        <v>0</v>
      </c>
      <c r="AB134" s="289">
        <f t="shared" si="63"/>
        <v>0</v>
      </c>
      <c r="AC134" s="271"/>
      <c r="AD134" s="271"/>
    </row>
    <row r="135" spans="4:30" x14ac:dyDescent="0.25">
      <c r="F135" t="s">
        <v>197</v>
      </c>
      <c r="G135" t="s">
        <v>268</v>
      </c>
      <c r="H135" s="271"/>
      <c r="I135" s="271"/>
      <c r="J135" s="289">
        <f t="shared" ref="J135:K135" si="64">J30 * (1 - J$119)</f>
        <v>0.31831573206254088</v>
      </c>
      <c r="K135" s="289">
        <f t="shared" si="64"/>
        <v>0.31831573206254088</v>
      </c>
      <c r="L135" s="289">
        <f t="shared" ref="L135:M135" si="65">L30 * (1 - L$119)</f>
        <v>0.36972533379806782</v>
      </c>
      <c r="M135" s="289">
        <f t="shared" si="65"/>
        <v>0.36972533379806782</v>
      </c>
      <c r="N135" s="289">
        <f t="shared" ref="N135:P135" si="66">N30 * (1 - N$119)</f>
        <v>0</v>
      </c>
      <c r="O135" s="289">
        <f t="shared" si="66"/>
        <v>0</v>
      </c>
      <c r="P135" s="289">
        <f t="shared" si="66"/>
        <v>0</v>
      </c>
      <c r="Q135" s="289">
        <f t="shared" ref="Q135:S135" si="67">Q30 * (1 - Q$119)</f>
        <v>0</v>
      </c>
      <c r="R135" s="289">
        <f t="shared" si="67"/>
        <v>0</v>
      </c>
      <c r="S135" s="289">
        <f t="shared" si="67"/>
        <v>0</v>
      </c>
      <c r="T135" s="289">
        <f t="shared" ref="T135:V135" si="68">T30 * (1 - T$119)</f>
        <v>0.71179047554141128</v>
      </c>
      <c r="U135" s="289">
        <f t="shared" si="68"/>
        <v>-0.22762910618056312</v>
      </c>
      <c r="V135" s="289">
        <f t="shared" si="68"/>
        <v>0</v>
      </c>
      <c r="W135" s="289">
        <f t="shared" ref="W135:X135" si="69">W30 * (1 - W$119)</f>
        <v>-0.22762910618056312</v>
      </c>
      <c r="X135" s="289">
        <f t="shared" si="69"/>
        <v>-0.22762910618056312</v>
      </c>
      <c r="Y135" s="289">
        <f t="shared" ref="Y135:Z135" si="70">Y30 * (1 - Y$119)</f>
        <v>0</v>
      </c>
      <c r="Z135" s="289">
        <f t="shared" si="70"/>
        <v>0</v>
      </c>
      <c r="AA135" s="289">
        <f t="shared" ref="AA135:AB135" si="71">AA30 * (1 - AA$119)</f>
        <v>0</v>
      </c>
      <c r="AB135" s="289">
        <f t="shared" si="71"/>
        <v>0</v>
      </c>
      <c r="AC135" s="271"/>
      <c r="AD135" s="271"/>
    </row>
    <row r="136" spans="4:30" x14ac:dyDescent="0.25">
      <c r="F136" t="s">
        <v>198</v>
      </c>
      <c r="G136" t="s">
        <v>268</v>
      </c>
      <c r="H136" s="271"/>
      <c r="I136" s="271"/>
      <c r="J136" s="289">
        <f t="shared" ref="J136:K136" si="72">J31 * (1 - J$120)</f>
        <v>0</v>
      </c>
      <c r="K136" s="289">
        <f t="shared" si="72"/>
        <v>0</v>
      </c>
      <c r="L136" s="289">
        <f t="shared" ref="L136:M136" si="73">L31 * (1 - L$120)</f>
        <v>0</v>
      </c>
      <c r="M136" s="289">
        <f t="shared" si="73"/>
        <v>0</v>
      </c>
      <c r="N136" s="289">
        <f t="shared" ref="N136:P136" si="74">N31 * (1 - N$120)</f>
        <v>0</v>
      </c>
      <c r="O136" s="289">
        <f t="shared" si="74"/>
        <v>0</v>
      </c>
      <c r="P136" s="289">
        <f t="shared" si="74"/>
        <v>0</v>
      </c>
      <c r="Q136" s="289">
        <f t="shared" ref="Q136:S136" si="75">Q31 * (1 - Q$120)</f>
        <v>0</v>
      </c>
      <c r="R136" s="289">
        <f t="shared" si="75"/>
        <v>0</v>
      </c>
      <c r="S136" s="289">
        <f t="shared" si="75"/>
        <v>0</v>
      </c>
      <c r="T136" s="289">
        <f t="shared" ref="T136:V136" si="76">T31 * (1 - T$120)</f>
        <v>0.12505460392592638</v>
      </c>
      <c r="U136" s="289">
        <f t="shared" si="76"/>
        <v>0</v>
      </c>
      <c r="V136" s="289">
        <f t="shared" si="76"/>
        <v>0</v>
      </c>
      <c r="W136" s="289">
        <f t="shared" ref="W136:X136" si="77">W31 * (1 - W$120)</f>
        <v>0</v>
      </c>
      <c r="X136" s="289">
        <f t="shared" si="77"/>
        <v>0</v>
      </c>
      <c r="Y136" s="289">
        <f t="shared" ref="Y136:Z136" si="78">Y31 * (1 - Y$120)</f>
        <v>0</v>
      </c>
      <c r="Z136" s="289">
        <f t="shared" si="78"/>
        <v>0</v>
      </c>
      <c r="AA136" s="289">
        <f t="shared" ref="AA136:AB136" si="79">AA31 * (1 - AA$120)</f>
        <v>0</v>
      </c>
      <c r="AB136" s="289">
        <f t="shared" si="79"/>
        <v>0</v>
      </c>
      <c r="AC136" s="271"/>
      <c r="AD136" s="271"/>
    </row>
    <row r="137" spans="4:30" x14ac:dyDescent="0.25">
      <c r="D137"/>
      <c r="F137" s="23" t="s">
        <v>375</v>
      </c>
      <c r="G137" s="23" t="s">
        <v>268</v>
      </c>
      <c r="H137" s="269"/>
      <c r="I137" s="269"/>
      <c r="J137" s="287"/>
      <c r="K137" s="287"/>
      <c r="L137" s="287"/>
      <c r="M137" s="287"/>
      <c r="N137" s="287"/>
      <c r="O137" s="287"/>
      <c r="P137" s="287"/>
      <c r="Q137" s="287"/>
      <c r="R137" s="287"/>
      <c r="S137" s="287"/>
      <c r="T137" s="287"/>
      <c r="U137" s="287"/>
      <c r="V137" s="287"/>
      <c r="W137" s="287"/>
      <c r="X137" s="287"/>
      <c r="Y137" s="287"/>
      <c r="Z137" s="287"/>
      <c r="AA137" s="287"/>
      <c r="AB137" s="287"/>
      <c r="AC137" s="271"/>
      <c r="AD137" s="271"/>
    </row>
    <row r="138" spans="4:30" x14ac:dyDescent="0.25">
      <c r="D138"/>
      <c r="F138" s="37" t="s">
        <v>376</v>
      </c>
      <c r="G138" s="37" t="s">
        <v>268</v>
      </c>
      <c r="H138" s="275"/>
      <c r="I138" s="275"/>
      <c r="J138" s="276"/>
      <c r="K138" s="276"/>
      <c r="L138" s="276"/>
      <c r="M138" s="276"/>
      <c r="N138" s="276"/>
      <c r="O138" s="276"/>
      <c r="P138" s="276"/>
      <c r="Q138" s="276"/>
      <c r="R138" s="276"/>
      <c r="S138" s="276"/>
      <c r="T138" s="276"/>
      <c r="U138" s="276"/>
      <c r="V138" s="276"/>
      <c r="W138" s="276"/>
      <c r="X138" s="276"/>
      <c r="Y138" s="276"/>
      <c r="Z138" s="276"/>
      <c r="AA138" s="276"/>
      <c r="AB138" s="276"/>
      <c r="AC138" s="271"/>
      <c r="AD138" s="271"/>
    </row>
    <row r="139" spans="4:30" x14ac:dyDescent="0.25">
      <c r="E139"/>
      <c r="J139" s="89"/>
      <c r="K139" s="89"/>
      <c r="L139" s="89"/>
      <c r="M139" s="89"/>
      <c r="N139" s="89"/>
      <c r="O139" s="89"/>
      <c r="P139" s="89"/>
      <c r="Q139" s="89"/>
      <c r="R139" s="89"/>
      <c r="S139" s="89"/>
      <c r="T139" s="89"/>
      <c r="U139" s="89"/>
      <c r="V139" s="89"/>
      <c r="W139" s="89"/>
      <c r="X139" s="89"/>
      <c r="Y139" s="89"/>
      <c r="Z139" s="89"/>
      <c r="AA139" s="89"/>
      <c r="AB139" s="89"/>
    </row>
    <row r="140" spans="4:30" x14ac:dyDescent="0.25">
      <c r="E140" s="32" t="s">
        <v>621</v>
      </c>
      <c r="J140" s="89"/>
      <c r="K140" s="89"/>
      <c r="L140" s="89"/>
      <c r="M140" s="89"/>
      <c r="N140" s="89"/>
      <c r="O140" s="89"/>
      <c r="P140" s="89"/>
      <c r="Q140" s="89"/>
      <c r="R140" s="89"/>
      <c r="S140" s="89"/>
      <c r="T140" s="89"/>
      <c r="U140" s="89"/>
      <c r="V140" s="89"/>
      <c r="W140" s="89"/>
      <c r="X140" s="89"/>
      <c r="Y140" s="89"/>
      <c r="Z140" s="89"/>
      <c r="AA140" s="89"/>
      <c r="AB140" s="89"/>
    </row>
    <row r="141" spans="4:30" x14ac:dyDescent="0.25">
      <c r="F141" s="23" t="s">
        <v>188</v>
      </c>
      <c r="G141" s="23" t="s">
        <v>268</v>
      </c>
      <c r="H141" s="269"/>
      <c r="I141" s="269"/>
      <c r="J141" s="288">
        <f t="shared" ref="J141:K141" si="80">J36 * (1 - J$112)</f>
        <v>1.8751515036073518</v>
      </c>
      <c r="K141" s="288">
        <f t="shared" si="80"/>
        <v>1.8751515036073518</v>
      </c>
      <c r="L141" s="288">
        <f t="shared" ref="L141:M141" si="81">L36 * (1 - L$112)</f>
        <v>2.1779979616494836</v>
      </c>
      <c r="M141" s="288">
        <f t="shared" si="81"/>
        <v>2.1779979616494836</v>
      </c>
      <c r="N141" s="288">
        <f t="shared" ref="N141:P141" si="82">N36 * (1 - N$112)</f>
        <v>1.6836518874629611</v>
      </c>
      <c r="O141" s="288">
        <f t="shared" si="82"/>
        <v>1.369378787639463</v>
      </c>
      <c r="P141" s="288">
        <f t="shared" si="82"/>
        <v>1.3659699658727382</v>
      </c>
      <c r="Q141" s="288">
        <f t="shared" ref="Q141:S141" si="83">Q36 * (1 - Q$112)</f>
        <v>1.6836518874629611</v>
      </c>
      <c r="R141" s="288">
        <f t="shared" si="83"/>
        <v>1.369378787639463</v>
      </c>
      <c r="S141" s="288">
        <f t="shared" si="83"/>
        <v>1.3659699658727382</v>
      </c>
      <c r="T141" s="288">
        <f t="shared" ref="T141:V141" si="84">T36 * (1 - T$112)</f>
        <v>4.0704023450285449</v>
      </c>
      <c r="U141" s="288">
        <f t="shared" si="84"/>
        <v>-1.3409298307487285</v>
      </c>
      <c r="V141" s="288">
        <f t="shared" si="84"/>
        <v>-1.2749824620233809</v>
      </c>
      <c r="W141" s="288">
        <f t="shared" ref="W141:X141" si="85">W36 * (1 - W$112)</f>
        <v>-1.3409298307487285</v>
      </c>
      <c r="X141" s="288">
        <f t="shared" si="85"/>
        <v>-1.3409298307487285</v>
      </c>
      <c r="Y141" s="288">
        <f t="shared" ref="Y141:Z141" si="86">Y36 * (1 - Y$112)</f>
        <v>-1.2749824620233809</v>
      </c>
      <c r="Z141" s="288">
        <f t="shared" si="86"/>
        <v>-1.2749824620233809</v>
      </c>
      <c r="AA141" s="288">
        <f t="shared" ref="AA141:AB141" si="87">AA36 * (1 - AA$112)</f>
        <v>-1.2530000057815984</v>
      </c>
      <c r="AB141" s="288">
        <f t="shared" si="87"/>
        <v>-1.2530000057815984</v>
      </c>
      <c r="AC141" s="271"/>
      <c r="AD141" s="271"/>
    </row>
    <row r="142" spans="4:30" x14ac:dyDescent="0.25">
      <c r="F142" t="s">
        <v>190</v>
      </c>
      <c r="G142" t="s">
        <v>268</v>
      </c>
      <c r="H142" s="271"/>
      <c r="I142" s="271"/>
      <c r="J142" s="289">
        <f t="shared" ref="J142:K142" si="88">J37 * (1 - J$112)</f>
        <v>0</v>
      </c>
      <c r="K142" s="289">
        <f t="shared" si="88"/>
        <v>0</v>
      </c>
      <c r="L142" s="289">
        <f t="shared" ref="L142:M142" si="89">L37 * (1 - L$112)</f>
        <v>0</v>
      </c>
      <c r="M142" s="289">
        <f t="shared" si="89"/>
        <v>0</v>
      </c>
      <c r="N142" s="289">
        <f t="shared" ref="N142:P142" si="90">N37 * (1 - N$112)</f>
        <v>0</v>
      </c>
      <c r="O142" s="289">
        <f t="shared" si="90"/>
        <v>0</v>
      </c>
      <c r="P142" s="289">
        <f t="shared" si="90"/>
        <v>0</v>
      </c>
      <c r="Q142" s="289">
        <f t="shared" ref="Q142:S142" si="91">Q37 * (1 - Q$112)</f>
        <v>0</v>
      </c>
      <c r="R142" s="289">
        <f t="shared" si="91"/>
        <v>0</v>
      </c>
      <c r="S142" s="289">
        <f t="shared" si="91"/>
        <v>0</v>
      </c>
      <c r="T142" s="289">
        <f t="shared" ref="T142:V142" si="92">T37 * (1 - T$112)</f>
        <v>0</v>
      </c>
      <c r="U142" s="289">
        <f t="shared" si="92"/>
        <v>0</v>
      </c>
      <c r="V142" s="289">
        <f t="shared" si="92"/>
        <v>0</v>
      </c>
      <c r="W142" s="289">
        <f t="shared" ref="W142:X142" si="93">W37 * (1 - W$112)</f>
        <v>0</v>
      </c>
      <c r="X142" s="289">
        <f t="shared" si="93"/>
        <v>0</v>
      </c>
      <c r="Y142" s="289">
        <f t="shared" ref="Y142:Z142" si="94">Y37 * (1 - Y$112)</f>
        <v>0</v>
      </c>
      <c r="Z142" s="289">
        <f t="shared" si="94"/>
        <v>0</v>
      </c>
      <c r="AA142" s="289">
        <f t="shared" ref="AA142:AB142" si="95">AA37 * (1 - AA$112)</f>
        <v>0</v>
      </c>
      <c r="AB142" s="289">
        <f t="shared" si="95"/>
        <v>0</v>
      </c>
      <c r="AC142" s="271"/>
      <c r="AD142" s="271"/>
    </row>
    <row r="143" spans="4:30" x14ac:dyDescent="0.25">
      <c r="F143" t="s">
        <v>191</v>
      </c>
      <c r="G143" t="s">
        <v>268</v>
      </c>
      <c r="H143" s="271"/>
      <c r="I143" s="271"/>
      <c r="J143" s="289">
        <f t="shared" ref="J143:K143" si="96">J38 * (1 - J$113)</f>
        <v>0</v>
      </c>
      <c r="K143" s="289">
        <f t="shared" si="96"/>
        <v>0</v>
      </c>
      <c r="L143" s="289">
        <f t="shared" ref="L143:M143" si="97">L38 * (1 - L$113)</f>
        <v>0</v>
      </c>
      <c r="M143" s="289">
        <f t="shared" si="97"/>
        <v>0</v>
      </c>
      <c r="N143" s="289">
        <f t="shared" ref="N143:P143" si="98">N38 * (1 - N$113)</f>
        <v>0</v>
      </c>
      <c r="O143" s="289">
        <f t="shared" si="98"/>
        <v>0</v>
      </c>
      <c r="P143" s="289">
        <f t="shared" si="98"/>
        <v>0</v>
      </c>
      <c r="Q143" s="289">
        <f t="shared" ref="Q143:S143" si="99">Q38 * (1 - Q$113)</f>
        <v>0</v>
      </c>
      <c r="R143" s="289">
        <f t="shared" si="99"/>
        <v>0</v>
      </c>
      <c r="S143" s="289">
        <f t="shared" si="99"/>
        <v>0</v>
      </c>
      <c r="T143" s="289">
        <f t="shared" ref="T143:V143" si="100">T38 * (1 - T$113)</f>
        <v>0</v>
      </c>
      <c r="U143" s="289">
        <f t="shared" si="100"/>
        <v>0</v>
      </c>
      <c r="V143" s="289">
        <f t="shared" si="100"/>
        <v>0</v>
      </c>
      <c r="W143" s="289">
        <f t="shared" ref="W143:X143" si="101">W38 * (1 - W$113)</f>
        <v>0</v>
      </c>
      <c r="X143" s="289">
        <f t="shared" si="101"/>
        <v>0</v>
      </c>
      <c r="Y143" s="289">
        <f t="shared" ref="Y143:Z143" si="102">Y38 * (1 - Y$113)</f>
        <v>0</v>
      </c>
      <c r="Z143" s="289">
        <f t="shared" si="102"/>
        <v>0</v>
      </c>
      <c r="AA143" s="289">
        <f t="shared" ref="AA143:AB143" si="103">AA38 * (1 - AA$113)</f>
        <v>0</v>
      </c>
      <c r="AB143" s="289">
        <f t="shared" si="103"/>
        <v>0</v>
      </c>
      <c r="AC143" s="271"/>
      <c r="AD143" s="271"/>
    </row>
    <row r="144" spans="4:30" x14ac:dyDescent="0.25">
      <c r="F144" t="s">
        <v>192</v>
      </c>
      <c r="G144" t="s">
        <v>268</v>
      </c>
      <c r="H144" s="271"/>
      <c r="I144" s="271"/>
      <c r="J144" s="289">
        <f t="shared" ref="J144:K144" si="104">J39 * (1 - J$114)</f>
        <v>0</v>
      </c>
      <c r="K144" s="289">
        <f t="shared" si="104"/>
        <v>0</v>
      </c>
      <c r="L144" s="289">
        <f t="shared" ref="L144:M144" si="105">L39 * (1 - L$114)</f>
        <v>0</v>
      </c>
      <c r="M144" s="289">
        <f t="shared" si="105"/>
        <v>0</v>
      </c>
      <c r="N144" s="289">
        <f t="shared" ref="N144:P144" si="106">N39 * (1 - N$114)</f>
        <v>0</v>
      </c>
      <c r="O144" s="289">
        <f t="shared" si="106"/>
        <v>0</v>
      </c>
      <c r="P144" s="289">
        <f t="shared" si="106"/>
        <v>0</v>
      </c>
      <c r="Q144" s="289">
        <f t="shared" ref="Q144:S144" si="107">Q39 * (1 - Q$114)</f>
        <v>0</v>
      </c>
      <c r="R144" s="289">
        <f t="shared" si="107"/>
        <v>0</v>
      </c>
      <c r="S144" s="289">
        <f t="shared" si="107"/>
        <v>0</v>
      </c>
      <c r="T144" s="289">
        <f t="shared" ref="T144:V144" si="108">T39 * (1 - T$114)</f>
        <v>0</v>
      </c>
      <c r="U144" s="289">
        <f t="shared" si="108"/>
        <v>0</v>
      </c>
      <c r="V144" s="289">
        <f t="shared" si="108"/>
        <v>0</v>
      </c>
      <c r="W144" s="289">
        <f t="shared" ref="W144:X144" si="109">W39 * (1 - W$114)</f>
        <v>0</v>
      </c>
      <c r="X144" s="289">
        <f t="shared" si="109"/>
        <v>0</v>
      </c>
      <c r="Y144" s="289">
        <f t="shared" ref="Y144:Z144" si="110">Y39 * (1 - Y$114)</f>
        <v>0</v>
      </c>
      <c r="Z144" s="289">
        <f t="shared" si="110"/>
        <v>0</v>
      </c>
      <c r="AA144" s="289">
        <f t="shared" ref="AA144:AB144" si="111">AA39 * (1 - AA$114)</f>
        <v>0</v>
      </c>
      <c r="AB144" s="289">
        <f t="shared" si="111"/>
        <v>0</v>
      </c>
      <c r="AC144" s="271"/>
      <c r="AD144" s="271"/>
    </row>
    <row r="145" spans="3:30" x14ac:dyDescent="0.25">
      <c r="F145" t="s">
        <v>193</v>
      </c>
      <c r="G145" t="s">
        <v>268</v>
      </c>
      <c r="H145" s="271"/>
      <c r="I145" s="271"/>
      <c r="J145" s="289">
        <f t="shared" ref="J145:K145" si="112">J40 * (1 - J$115)</f>
        <v>1.3271969512058077</v>
      </c>
      <c r="K145" s="289">
        <f t="shared" si="112"/>
        <v>1.3271969512058077</v>
      </c>
      <c r="L145" s="289">
        <f t="shared" ref="L145:M145" si="113">L40 * (1 - L$115)</f>
        <v>1.5415459758172922</v>
      </c>
      <c r="M145" s="289">
        <f t="shared" si="113"/>
        <v>1.5415459758172922</v>
      </c>
      <c r="N145" s="289">
        <f t="shared" ref="N145:P145" si="114">N40 * (1 - N$115)</f>
        <v>1.1916571261756816</v>
      </c>
      <c r="O145" s="289">
        <f t="shared" si="114"/>
        <v>0.96922053951623688</v>
      </c>
      <c r="P145" s="289">
        <f t="shared" si="114"/>
        <v>0.77344627168839786</v>
      </c>
      <c r="Q145" s="289">
        <f t="shared" ref="Q145:S145" si="115">Q40 * (1 - Q$115)</f>
        <v>1.1916571261756816</v>
      </c>
      <c r="R145" s="289">
        <f t="shared" si="115"/>
        <v>0.96922053951623688</v>
      </c>
      <c r="S145" s="289">
        <f t="shared" si="115"/>
        <v>0.77344627168839786</v>
      </c>
      <c r="T145" s="289">
        <f t="shared" ref="T145:V145" si="116">T40 * (1 - T$115)</f>
        <v>2.8809541906935197</v>
      </c>
      <c r="U145" s="289">
        <f t="shared" si="116"/>
        <v>-0.94908490312753313</v>
      </c>
      <c r="V145" s="289">
        <f t="shared" si="116"/>
        <v>-0.90240859641634319</v>
      </c>
      <c r="W145" s="289">
        <f t="shared" ref="W145:X145" si="117">W40 * (1 - W$115)</f>
        <v>-0.94908490312753313</v>
      </c>
      <c r="X145" s="289">
        <f t="shared" si="117"/>
        <v>-0.94908490312753313</v>
      </c>
      <c r="Y145" s="289">
        <f t="shared" ref="Y145:Z145" si="118">Y40 * (1 - Y$115)</f>
        <v>-0.90240859641634319</v>
      </c>
      <c r="Z145" s="289">
        <f t="shared" si="118"/>
        <v>-0.90240859641634319</v>
      </c>
      <c r="AA145" s="289">
        <f t="shared" ref="AA145:AB145" si="119">AA40 * (1 - AA$115)</f>
        <v>-0.88684982751261299</v>
      </c>
      <c r="AB145" s="289">
        <f t="shared" si="119"/>
        <v>-0.88684982751261299</v>
      </c>
      <c r="AC145" s="271"/>
      <c r="AD145" s="271"/>
    </row>
    <row r="146" spans="3:30" x14ac:dyDescent="0.25">
      <c r="F146" t="s">
        <v>194</v>
      </c>
      <c r="G146" t="s">
        <v>268</v>
      </c>
      <c r="H146" s="271"/>
      <c r="I146" s="271"/>
      <c r="J146" s="289">
        <f t="shared" ref="J146:K146" si="120">J41 * (1 - J$116)</f>
        <v>0.29792241874154252</v>
      </c>
      <c r="K146" s="289">
        <f t="shared" si="120"/>
        <v>0.29792241874154252</v>
      </c>
      <c r="L146" s="289">
        <f t="shared" ref="L146:M146" si="121">L41 * (1 - L$116)</f>
        <v>0.34603839716443235</v>
      </c>
      <c r="M146" s="289">
        <f t="shared" si="121"/>
        <v>0.34603839716443235</v>
      </c>
      <c r="N146" s="289">
        <f t="shared" ref="N146:P146" si="122">N41 * (1 - N$116)</f>
        <v>0.26749712845429946</v>
      </c>
      <c r="O146" s="289">
        <f t="shared" si="122"/>
        <v>0.2175656952529296</v>
      </c>
      <c r="P146" s="289">
        <f t="shared" si="122"/>
        <v>0</v>
      </c>
      <c r="Q146" s="289">
        <f t="shared" ref="Q146:S146" si="123">Q41 * (1 - Q$116)</f>
        <v>0.26749712845429946</v>
      </c>
      <c r="R146" s="289">
        <f t="shared" si="123"/>
        <v>0.2175656952529296</v>
      </c>
      <c r="S146" s="289">
        <f t="shared" si="123"/>
        <v>0</v>
      </c>
      <c r="T146" s="289">
        <f t="shared" ref="T146:V146" si="124">T41 * (1 - T$116)</f>
        <v>0.666188688621981</v>
      </c>
      <c r="U146" s="289">
        <f t="shared" si="124"/>
        <v>-0.21304575004783205</v>
      </c>
      <c r="V146" s="289">
        <f t="shared" si="124"/>
        <v>-0.20256809020941408</v>
      </c>
      <c r="W146" s="289">
        <f t="shared" ref="W146:X146" si="125">W41 * (1 - W$116)</f>
        <v>-0.21304575004783205</v>
      </c>
      <c r="X146" s="289">
        <f t="shared" si="125"/>
        <v>-0.21304575004783205</v>
      </c>
      <c r="Y146" s="289">
        <f t="shared" ref="Y146:Z146" si="126">Y41 * (1 - Y$116)</f>
        <v>-0.20256809020941408</v>
      </c>
      <c r="Z146" s="289">
        <f t="shared" si="126"/>
        <v>-0.20256809020941408</v>
      </c>
      <c r="AA146" s="289">
        <f t="shared" ref="AA146:AB146" si="127">AA41 * (1 - AA$116)</f>
        <v>-0.19907553692994143</v>
      </c>
      <c r="AB146" s="289">
        <f t="shared" si="127"/>
        <v>-0.19907553692994143</v>
      </c>
      <c r="AC146" s="271"/>
      <c r="AD146" s="271"/>
    </row>
    <row r="147" spans="3:30" x14ac:dyDescent="0.25">
      <c r="F147" t="s">
        <v>195</v>
      </c>
      <c r="G147" t="s">
        <v>268</v>
      </c>
      <c r="H147" s="271"/>
      <c r="I147" s="271"/>
      <c r="J147" s="289">
        <f t="shared" ref="J147:K147" si="128">J42 * (1 - J$117)</f>
        <v>0</v>
      </c>
      <c r="K147" s="289">
        <f t="shared" si="128"/>
        <v>0</v>
      </c>
      <c r="L147" s="289">
        <f t="shared" ref="L147:M147" si="129">L42 * (1 - L$117)</f>
        <v>0</v>
      </c>
      <c r="M147" s="289">
        <f t="shared" si="129"/>
        <v>0</v>
      </c>
      <c r="N147" s="289">
        <f t="shared" ref="N147:P147" si="130">N42 * (1 - N$117)</f>
        <v>0</v>
      </c>
      <c r="O147" s="289">
        <f t="shared" si="130"/>
        <v>0</v>
      </c>
      <c r="P147" s="289">
        <f t="shared" si="130"/>
        <v>0</v>
      </c>
      <c r="Q147" s="289">
        <f t="shared" ref="Q147:S147" si="131">Q42 * (1 - Q$117)</f>
        <v>0</v>
      </c>
      <c r="R147" s="289">
        <f t="shared" si="131"/>
        <v>0</v>
      </c>
      <c r="S147" s="289">
        <f t="shared" si="131"/>
        <v>0</v>
      </c>
      <c r="T147" s="289">
        <f t="shared" ref="T147:V147" si="132">T42 * (1 - T$117)</f>
        <v>0</v>
      </c>
      <c r="U147" s="289">
        <f t="shared" si="132"/>
        <v>0</v>
      </c>
      <c r="V147" s="289">
        <f t="shared" si="132"/>
        <v>0</v>
      </c>
      <c r="W147" s="289">
        <f t="shared" ref="W147:X147" si="133">W42 * (1 - W$117)</f>
        <v>0</v>
      </c>
      <c r="X147" s="289">
        <f t="shared" si="133"/>
        <v>0</v>
      </c>
      <c r="Y147" s="289">
        <f t="shared" ref="Y147:Z147" si="134">Y42 * (1 - Y$117)</f>
        <v>0</v>
      </c>
      <c r="Z147" s="289">
        <f t="shared" si="134"/>
        <v>0</v>
      </c>
      <c r="AA147" s="289">
        <f t="shared" ref="AA147:AB147" si="135">AA42 * (1 - AA$117)</f>
        <v>0</v>
      </c>
      <c r="AB147" s="289">
        <f t="shared" si="135"/>
        <v>0</v>
      </c>
      <c r="AC147" s="271"/>
      <c r="AD147" s="271"/>
    </row>
    <row r="148" spans="3:30" x14ac:dyDescent="0.25">
      <c r="F148" t="s">
        <v>196</v>
      </c>
      <c r="G148" t="s">
        <v>268</v>
      </c>
      <c r="H148" s="271"/>
      <c r="I148" s="271"/>
      <c r="J148" s="289">
        <f t="shared" ref="J148:K148" si="136">J43 * (1 - J$118)</f>
        <v>1.2816705915961015</v>
      </c>
      <c r="K148" s="289">
        <f t="shared" si="136"/>
        <v>1.2816705915961015</v>
      </c>
      <c r="L148" s="289">
        <f t="shared" ref="L148:M148" si="137">L43 * (1 - L$118)</f>
        <v>1.4886668787200668</v>
      </c>
      <c r="M148" s="289">
        <f t="shared" si="137"/>
        <v>1.4886668787200668</v>
      </c>
      <c r="N148" s="289">
        <f t="shared" ref="N148:P148" si="138">N43 * (1 - N$118)</f>
        <v>0.92062411234304098</v>
      </c>
      <c r="O148" s="289">
        <f t="shared" si="138"/>
        <v>0</v>
      </c>
      <c r="P148" s="289">
        <f t="shared" si="138"/>
        <v>0</v>
      </c>
      <c r="Q148" s="289">
        <f t="shared" ref="Q148:S148" si="139">Q43 * (1 - Q$118)</f>
        <v>0.92062411234304098</v>
      </c>
      <c r="R148" s="289">
        <f t="shared" si="139"/>
        <v>0</v>
      </c>
      <c r="S148" s="289">
        <f t="shared" si="139"/>
        <v>0</v>
      </c>
      <c r="T148" s="289">
        <f t="shared" ref="T148:V148" si="140">T43 * (1 - T$118)</f>
        <v>2.865962401444837</v>
      </c>
      <c r="U148" s="289">
        <f t="shared" si="140"/>
        <v>-0.91652878509194657</v>
      </c>
      <c r="V148" s="289">
        <f t="shared" si="140"/>
        <v>-0.87145359893988361</v>
      </c>
      <c r="W148" s="289">
        <f t="shared" ref="W148:X148" si="141">W43 * (1 - W$118)</f>
        <v>-0.91652878509194657</v>
      </c>
      <c r="X148" s="289">
        <f t="shared" si="141"/>
        <v>-0.91652878509194657</v>
      </c>
      <c r="Y148" s="289">
        <f t="shared" ref="Y148:Z148" si="142">Y43 * (1 - Y$118)</f>
        <v>-0.87145359893988361</v>
      </c>
      <c r="Z148" s="289">
        <f t="shared" si="142"/>
        <v>-0.87145359893988361</v>
      </c>
      <c r="AA148" s="289">
        <f t="shared" ref="AA148:AB148" si="143">AA43 * (1 - AA$118)</f>
        <v>0</v>
      </c>
      <c r="AB148" s="289">
        <f t="shared" si="143"/>
        <v>0</v>
      </c>
      <c r="AC148" s="271"/>
      <c r="AD148" s="271"/>
    </row>
    <row r="149" spans="3:30" x14ac:dyDescent="0.25">
      <c r="F149" t="s">
        <v>197</v>
      </c>
      <c r="G149" t="s">
        <v>268</v>
      </c>
      <c r="H149" s="271"/>
      <c r="I149" s="271"/>
      <c r="J149" s="289">
        <f t="shared" ref="J149:K149" si="144">J44 * (1 - J$119)</f>
        <v>0.3221201107161773</v>
      </c>
      <c r="K149" s="289">
        <f t="shared" si="144"/>
        <v>0.3221201107161773</v>
      </c>
      <c r="L149" s="289">
        <f t="shared" ref="L149:M149" si="145">L44 * (1 - L$119)</f>
        <v>0.37414413885836451</v>
      </c>
      <c r="M149" s="289">
        <f t="shared" si="145"/>
        <v>0.37414413885836451</v>
      </c>
      <c r="N149" s="289">
        <f t="shared" ref="N149:P149" si="146">N44 * (1 - N$119)</f>
        <v>0</v>
      </c>
      <c r="O149" s="289">
        <f t="shared" si="146"/>
        <v>0</v>
      </c>
      <c r="P149" s="289">
        <f t="shared" si="146"/>
        <v>0</v>
      </c>
      <c r="Q149" s="289">
        <f t="shared" ref="Q149:S149" si="147">Q44 * (1 - Q$119)</f>
        <v>0</v>
      </c>
      <c r="R149" s="289">
        <f t="shared" si="147"/>
        <v>0</v>
      </c>
      <c r="S149" s="289">
        <f t="shared" si="147"/>
        <v>0</v>
      </c>
      <c r="T149" s="289">
        <f t="shared" ref="T149:V149" si="148">T44 * (1 - T$119)</f>
        <v>0.72029750242778401</v>
      </c>
      <c r="U149" s="289">
        <f t="shared" si="148"/>
        <v>-0.23034963559608548</v>
      </c>
      <c r="V149" s="289">
        <f t="shared" si="148"/>
        <v>0</v>
      </c>
      <c r="W149" s="289">
        <f t="shared" ref="W149:X149" si="149">W44 * (1 - W$119)</f>
        <v>-0.23034963559608548</v>
      </c>
      <c r="X149" s="289">
        <f t="shared" si="149"/>
        <v>-0.23034963559608548</v>
      </c>
      <c r="Y149" s="289">
        <f t="shared" ref="Y149:Z149" si="150">Y44 * (1 - Y$119)</f>
        <v>0</v>
      </c>
      <c r="Z149" s="289">
        <f t="shared" si="150"/>
        <v>0</v>
      </c>
      <c r="AA149" s="289">
        <f t="shared" ref="AA149:AB149" si="151">AA44 * (1 - AA$119)</f>
        <v>0</v>
      </c>
      <c r="AB149" s="289">
        <f t="shared" si="151"/>
        <v>0</v>
      </c>
      <c r="AC149" s="271"/>
      <c r="AD149" s="271"/>
    </row>
    <row r="150" spans="3:30" x14ac:dyDescent="0.25">
      <c r="F150" t="s">
        <v>198</v>
      </c>
      <c r="G150" t="s">
        <v>268</v>
      </c>
      <c r="H150" s="271"/>
      <c r="I150" s="271"/>
      <c r="J150" s="289">
        <f t="shared" ref="J150:K150" si="152">J45 * (1 - J$120)</f>
        <v>0</v>
      </c>
      <c r="K150" s="289">
        <f t="shared" si="152"/>
        <v>0</v>
      </c>
      <c r="L150" s="289">
        <f t="shared" ref="L150:M150" si="153">L45 * (1 - L$120)</f>
        <v>0</v>
      </c>
      <c r="M150" s="289">
        <f t="shared" si="153"/>
        <v>0</v>
      </c>
      <c r="N150" s="289">
        <f t="shared" ref="N150:P150" si="154">N45 * (1 - N$120)</f>
        <v>0</v>
      </c>
      <c r="O150" s="289">
        <f t="shared" si="154"/>
        <v>0</v>
      </c>
      <c r="P150" s="289">
        <f t="shared" si="154"/>
        <v>0</v>
      </c>
      <c r="Q150" s="289">
        <f t="shared" ref="Q150:S150" si="155">Q45 * (1 - Q$120)</f>
        <v>0</v>
      </c>
      <c r="R150" s="289">
        <f t="shared" si="155"/>
        <v>0</v>
      </c>
      <c r="S150" s="289">
        <f t="shared" si="155"/>
        <v>0</v>
      </c>
      <c r="T150" s="289">
        <f t="shared" ref="T150:V150" si="156">T45 * (1 - T$120)</f>
        <v>1.2115631719705942</v>
      </c>
      <c r="U150" s="289">
        <f t="shared" si="156"/>
        <v>0</v>
      </c>
      <c r="V150" s="289">
        <f t="shared" si="156"/>
        <v>0</v>
      </c>
      <c r="W150" s="289">
        <f t="shared" ref="W150:X150" si="157">W45 * (1 - W$120)</f>
        <v>0</v>
      </c>
      <c r="X150" s="289">
        <f t="shared" si="157"/>
        <v>0</v>
      </c>
      <c r="Y150" s="289">
        <f t="shared" ref="Y150:Z150" si="158">Y45 * (1 - Y$120)</f>
        <v>0</v>
      </c>
      <c r="Z150" s="289">
        <f t="shared" si="158"/>
        <v>0</v>
      </c>
      <c r="AA150" s="289">
        <f t="shared" ref="AA150:AB150" si="159">AA45 * (1 - AA$120)</f>
        <v>0</v>
      </c>
      <c r="AB150" s="289">
        <f t="shared" si="159"/>
        <v>0</v>
      </c>
      <c r="AC150" s="271"/>
      <c r="AD150" s="271"/>
    </row>
    <row r="151" spans="3:30" x14ac:dyDescent="0.25">
      <c r="D151"/>
      <c r="F151" s="23" t="s">
        <v>375</v>
      </c>
      <c r="G151" s="23" t="s">
        <v>268</v>
      </c>
      <c r="H151" s="269"/>
      <c r="I151" s="269" t="s">
        <v>153</v>
      </c>
      <c r="J151" s="287"/>
      <c r="K151" s="287"/>
      <c r="L151" s="287"/>
      <c r="M151" s="287"/>
      <c r="N151" s="287"/>
      <c r="O151" s="287"/>
      <c r="P151" s="287"/>
      <c r="Q151" s="287"/>
      <c r="R151" s="287"/>
      <c r="S151" s="287"/>
      <c r="T151" s="288">
        <f t="shared" ref="T151" si="160">T46</f>
        <v>0.42942896297178434</v>
      </c>
      <c r="U151" s="287"/>
      <c r="V151" s="287"/>
      <c r="W151" s="287"/>
      <c r="X151" s="287"/>
      <c r="Y151" s="287"/>
      <c r="Z151" s="287"/>
      <c r="AA151" s="287"/>
      <c r="AB151" s="287"/>
      <c r="AC151" s="271"/>
      <c r="AD151" s="271" t="s">
        <v>653</v>
      </c>
    </row>
    <row r="152" spans="3:30" x14ac:dyDescent="0.25">
      <c r="D152"/>
      <c r="F152" s="37" t="s">
        <v>376</v>
      </c>
      <c r="G152" s="37" t="s">
        <v>268</v>
      </c>
      <c r="H152" s="275"/>
      <c r="I152" s="275"/>
      <c r="J152" s="276"/>
      <c r="K152" s="276"/>
      <c r="L152" s="276"/>
      <c r="M152" s="276"/>
      <c r="N152" s="276"/>
      <c r="O152" s="276"/>
      <c r="P152" s="276"/>
      <c r="Q152" s="276"/>
      <c r="R152" s="276"/>
      <c r="S152" s="276"/>
      <c r="T152" s="276"/>
      <c r="U152" s="276"/>
      <c r="V152" s="276"/>
      <c r="W152" s="276"/>
      <c r="X152" s="276"/>
      <c r="Y152" s="276"/>
      <c r="Z152" s="276"/>
      <c r="AA152" s="276"/>
      <c r="AB152" s="276"/>
      <c r="AC152" s="271"/>
      <c r="AD152" s="271"/>
    </row>
    <row r="153" spans="3:30" x14ac:dyDescent="0.25">
      <c r="E153"/>
      <c r="J153" s="89"/>
      <c r="K153" s="89"/>
      <c r="L153" s="89"/>
      <c r="M153" s="89"/>
      <c r="N153" s="89"/>
      <c r="O153" s="89"/>
      <c r="P153" s="89"/>
      <c r="Q153" s="89"/>
      <c r="R153" s="89"/>
      <c r="S153" s="89"/>
      <c r="T153" s="89"/>
      <c r="U153" s="89"/>
      <c r="V153" s="89"/>
      <c r="W153" s="89"/>
      <c r="X153" s="89"/>
      <c r="Y153" s="89"/>
      <c r="Z153" s="89"/>
      <c r="AA153" s="89"/>
      <c r="AB153" s="89"/>
    </row>
    <row r="154" spans="3:30" x14ac:dyDescent="0.25">
      <c r="C154" s="31" t="str">
        <f ca="1">INDEX('Version control'!$H$34:$H$57,MATCH($A$1,'Version control'!$F$34:$F$57,0),1)&amp;"-F: Contributions to unit rate 2 p/kWh by network level (taking account of standing charges)"</f>
        <v>Section 111-F: Contributions to unit rate 2 p/kWh by network level (taking account of standing charges)</v>
      </c>
      <c r="D154" s="31"/>
      <c r="E154" s="31"/>
      <c r="F154" s="31"/>
      <c r="G154" s="31"/>
      <c r="H154" s="31"/>
      <c r="I154" s="31"/>
      <c r="J154" s="90"/>
      <c r="K154" s="90"/>
      <c r="L154" s="90"/>
      <c r="M154" s="90"/>
      <c r="N154" s="90"/>
      <c r="O154" s="90"/>
      <c r="P154" s="90"/>
      <c r="Q154" s="90"/>
      <c r="R154" s="90"/>
      <c r="S154" s="90"/>
      <c r="T154" s="90"/>
      <c r="U154" s="90"/>
      <c r="V154" s="90"/>
      <c r="W154" s="90"/>
      <c r="X154" s="90"/>
      <c r="Y154" s="90"/>
      <c r="Z154" s="90"/>
      <c r="AA154" s="90"/>
      <c r="AB154" s="90"/>
      <c r="AC154" s="31"/>
      <c r="AD154" s="31"/>
    </row>
    <row r="155" spans="3:30" x14ac:dyDescent="0.25">
      <c r="C155" s="32"/>
      <c r="D155" s="32"/>
      <c r="E155"/>
      <c r="I155" t="s">
        <v>153</v>
      </c>
      <c r="J155" s="89"/>
      <c r="K155" s="89"/>
      <c r="L155" s="89"/>
      <c r="M155" s="89"/>
      <c r="N155" s="89"/>
      <c r="O155" s="89"/>
      <c r="P155" s="89"/>
      <c r="Q155" s="89"/>
      <c r="R155" s="89"/>
      <c r="S155" s="89"/>
      <c r="T155" s="89"/>
      <c r="U155" s="89"/>
      <c r="V155" s="89"/>
      <c r="W155" s="89"/>
      <c r="X155" s="89"/>
      <c r="Y155" s="89"/>
      <c r="Z155" s="89"/>
      <c r="AA155" s="89"/>
      <c r="AB155" s="89"/>
      <c r="AD155" t="s">
        <v>655</v>
      </c>
    </row>
    <row r="156" spans="3:30" x14ac:dyDescent="0.25">
      <c r="E156" s="32" t="s">
        <v>620</v>
      </c>
      <c r="J156" s="89"/>
      <c r="K156" s="89"/>
      <c r="L156" s="89"/>
      <c r="M156" s="89"/>
      <c r="N156" s="89"/>
      <c r="O156" s="89"/>
      <c r="P156" s="89"/>
      <c r="Q156" s="89"/>
      <c r="R156" s="89"/>
      <c r="S156" s="89"/>
      <c r="T156" s="89"/>
      <c r="U156" s="89"/>
      <c r="V156" s="89"/>
      <c r="W156" s="89"/>
      <c r="X156" s="89"/>
      <c r="Y156" s="89"/>
      <c r="Z156" s="89"/>
      <c r="AA156" s="89"/>
      <c r="AB156" s="89"/>
    </row>
    <row r="157" spans="3:30" x14ac:dyDescent="0.25">
      <c r="F157" s="23" t="s">
        <v>188</v>
      </c>
      <c r="G157" s="23" t="s">
        <v>268</v>
      </c>
      <c r="H157" s="269"/>
      <c r="I157" s="269"/>
      <c r="J157" s="288">
        <f t="shared" ref="J157:K157" si="161">J52 * (1 - J$112)</f>
        <v>0</v>
      </c>
      <c r="K157" s="288">
        <f t="shared" si="161"/>
        <v>0</v>
      </c>
      <c r="L157" s="288">
        <f t="shared" ref="L157:M157" si="162">L52 * (1 - L$112)</f>
        <v>0</v>
      </c>
      <c r="M157" s="288">
        <f t="shared" si="162"/>
        <v>0</v>
      </c>
      <c r="N157" s="288">
        <f t="shared" ref="N157:P157" si="163">N52 * (1 - N$112)</f>
        <v>0</v>
      </c>
      <c r="O157" s="288">
        <f t="shared" si="163"/>
        <v>0</v>
      </c>
      <c r="P157" s="288">
        <f t="shared" si="163"/>
        <v>0</v>
      </c>
      <c r="Q157" s="288">
        <f t="shared" ref="Q157:S157" si="164">Q52 * (1 - Q$112)</f>
        <v>0</v>
      </c>
      <c r="R157" s="288">
        <f t="shared" si="164"/>
        <v>0</v>
      </c>
      <c r="S157" s="288">
        <f t="shared" si="164"/>
        <v>0</v>
      </c>
      <c r="T157" s="288">
        <f t="shared" ref="T157:V157" si="165">T52 * (1 - T$112)</f>
        <v>0</v>
      </c>
      <c r="U157" s="288">
        <f t="shared" si="165"/>
        <v>0</v>
      </c>
      <c r="V157" s="288">
        <f t="shared" si="165"/>
        <v>0</v>
      </c>
      <c r="W157" s="288">
        <f t="shared" ref="W157:X157" si="166">W52 * (1 - W$112)</f>
        <v>0</v>
      </c>
      <c r="X157" s="288">
        <f t="shared" si="166"/>
        <v>0</v>
      </c>
      <c r="Y157" s="288">
        <f t="shared" ref="Y157:Z157" si="167">Y52 * (1 - Y$112)</f>
        <v>0</v>
      </c>
      <c r="Z157" s="288">
        <f t="shared" si="167"/>
        <v>0</v>
      </c>
      <c r="AA157" s="288">
        <f t="shared" ref="AA157:AB157" si="168">AA52 * (1 - AA$112)</f>
        <v>0</v>
      </c>
      <c r="AB157" s="288">
        <f t="shared" si="168"/>
        <v>0</v>
      </c>
      <c r="AC157" s="271"/>
      <c r="AD157" s="271"/>
    </row>
    <row r="158" spans="3:30" x14ac:dyDescent="0.25">
      <c r="F158" t="s">
        <v>190</v>
      </c>
      <c r="G158" t="s">
        <v>268</v>
      </c>
      <c r="H158" s="271"/>
      <c r="I158" s="271"/>
      <c r="J158" s="289">
        <f t="shared" ref="J158:K158" si="169">J53 * (1 - J$112)</f>
        <v>0</v>
      </c>
      <c r="K158" s="289">
        <f t="shared" si="169"/>
        <v>0</v>
      </c>
      <c r="L158" s="289">
        <f t="shared" ref="L158:M158" si="170">L53 * (1 - L$112)</f>
        <v>0</v>
      </c>
      <c r="M158" s="289">
        <f t="shared" si="170"/>
        <v>0</v>
      </c>
      <c r="N158" s="289">
        <f t="shared" ref="N158:P158" si="171">N53 * (1 - N$112)</f>
        <v>0</v>
      </c>
      <c r="O158" s="289">
        <f t="shared" si="171"/>
        <v>0</v>
      </c>
      <c r="P158" s="289">
        <f t="shared" si="171"/>
        <v>0</v>
      </c>
      <c r="Q158" s="289">
        <f t="shared" ref="Q158:S158" si="172">Q53 * (1 - Q$112)</f>
        <v>0</v>
      </c>
      <c r="R158" s="289">
        <f t="shared" si="172"/>
        <v>0</v>
      </c>
      <c r="S158" s="289">
        <f t="shared" si="172"/>
        <v>0</v>
      </c>
      <c r="T158" s="289">
        <f t="shared" ref="T158:V158" si="173">T53 * (1 - T$112)</f>
        <v>0</v>
      </c>
      <c r="U158" s="289">
        <f t="shared" si="173"/>
        <v>0</v>
      </c>
      <c r="V158" s="289">
        <f t="shared" si="173"/>
        <v>0</v>
      </c>
      <c r="W158" s="289">
        <f t="shared" ref="W158:X158" si="174">W53 * (1 - W$112)</f>
        <v>0</v>
      </c>
      <c r="X158" s="289">
        <f t="shared" si="174"/>
        <v>0</v>
      </c>
      <c r="Y158" s="289">
        <f t="shared" ref="Y158:Z158" si="175">Y53 * (1 - Y$112)</f>
        <v>0</v>
      </c>
      <c r="Z158" s="289">
        <f t="shared" si="175"/>
        <v>0</v>
      </c>
      <c r="AA158" s="289">
        <f t="shared" ref="AA158:AB158" si="176">AA53 * (1 - AA$112)</f>
        <v>0</v>
      </c>
      <c r="AB158" s="289">
        <f t="shared" si="176"/>
        <v>0</v>
      </c>
      <c r="AC158" s="271"/>
      <c r="AD158" s="271"/>
    </row>
    <row r="159" spans="3:30" x14ac:dyDescent="0.25">
      <c r="F159" t="s">
        <v>191</v>
      </c>
      <c r="G159" t="s">
        <v>268</v>
      </c>
      <c r="H159" s="271"/>
      <c r="I159" s="271"/>
      <c r="J159" s="289">
        <f t="shared" ref="J159:K159" si="177">J54 * (1 - J$113)</f>
        <v>0</v>
      </c>
      <c r="K159" s="289">
        <f t="shared" si="177"/>
        <v>0</v>
      </c>
      <c r="L159" s="289">
        <f t="shared" ref="L159:M159" si="178">L54 * (1 - L$113)</f>
        <v>0</v>
      </c>
      <c r="M159" s="289">
        <f t="shared" si="178"/>
        <v>0</v>
      </c>
      <c r="N159" s="289">
        <f t="shared" ref="N159:P159" si="179">N54 * (1 - N$113)</f>
        <v>0</v>
      </c>
      <c r="O159" s="289">
        <f t="shared" si="179"/>
        <v>0</v>
      </c>
      <c r="P159" s="289">
        <f t="shared" si="179"/>
        <v>0</v>
      </c>
      <c r="Q159" s="289">
        <f t="shared" ref="Q159:S159" si="180">Q54 * (1 - Q$113)</f>
        <v>0</v>
      </c>
      <c r="R159" s="289">
        <f t="shared" si="180"/>
        <v>0</v>
      </c>
      <c r="S159" s="289">
        <f t="shared" si="180"/>
        <v>0</v>
      </c>
      <c r="T159" s="289">
        <f t="shared" ref="T159:V159" si="181">T54 * (1 - T$113)</f>
        <v>0</v>
      </c>
      <c r="U159" s="289">
        <f t="shared" si="181"/>
        <v>0</v>
      </c>
      <c r="V159" s="289">
        <f t="shared" si="181"/>
        <v>0</v>
      </c>
      <c r="W159" s="289">
        <f t="shared" ref="W159:X159" si="182">W54 * (1 - W$113)</f>
        <v>0</v>
      </c>
      <c r="X159" s="289">
        <f t="shared" si="182"/>
        <v>0</v>
      </c>
      <c r="Y159" s="289">
        <f t="shared" ref="Y159:Z159" si="183">Y54 * (1 - Y$113)</f>
        <v>0</v>
      </c>
      <c r="Z159" s="289">
        <f t="shared" si="183"/>
        <v>0</v>
      </c>
      <c r="AA159" s="289">
        <f t="shared" ref="AA159:AB159" si="184">AA54 * (1 - AA$113)</f>
        <v>0</v>
      </c>
      <c r="AB159" s="289">
        <f t="shared" si="184"/>
        <v>0</v>
      </c>
      <c r="AC159" s="271"/>
      <c r="AD159" s="271"/>
    </row>
    <row r="160" spans="3:30" x14ac:dyDescent="0.25">
      <c r="F160" t="s">
        <v>192</v>
      </c>
      <c r="G160" t="s">
        <v>268</v>
      </c>
      <c r="H160" s="271"/>
      <c r="I160" s="271"/>
      <c r="J160" s="289">
        <f t="shared" ref="J160:K160" si="185">J55 * (1 - J$114)</f>
        <v>0</v>
      </c>
      <c r="K160" s="289">
        <f t="shared" si="185"/>
        <v>0</v>
      </c>
      <c r="L160" s="289">
        <f t="shared" ref="L160:M160" si="186">L55 * (1 - L$114)</f>
        <v>0</v>
      </c>
      <c r="M160" s="289">
        <f t="shared" si="186"/>
        <v>0</v>
      </c>
      <c r="N160" s="289">
        <f t="shared" ref="N160:P160" si="187">N55 * (1 - N$114)</f>
        <v>0</v>
      </c>
      <c r="O160" s="289">
        <f t="shared" si="187"/>
        <v>0</v>
      </c>
      <c r="P160" s="289">
        <f t="shared" si="187"/>
        <v>0</v>
      </c>
      <c r="Q160" s="289">
        <f t="shared" ref="Q160:S160" si="188">Q55 * (1 - Q$114)</f>
        <v>0</v>
      </c>
      <c r="R160" s="289">
        <f t="shared" si="188"/>
        <v>0</v>
      </c>
      <c r="S160" s="289">
        <f t="shared" si="188"/>
        <v>0</v>
      </c>
      <c r="T160" s="289">
        <f t="shared" ref="T160:V160" si="189">T55 * (1 - T$114)</f>
        <v>0</v>
      </c>
      <c r="U160" s="289">
        <f t="shared" si="189"/>
        <v>0</v>
      </c>
      <c r="V160" s="289">
        <f t="shared" si="189"/>
        <v>0</v>
      </c>
      <c r="W160" s="289">
        <f t="shared" ref="W160:X160" si="190">W55 * (1 - W$114)</f>
        <v>0</v>
      </c>
      <c r="X160" s="289">
        <f t="shared" si="190"/>
        <v>0</v>
      </c>
      <c r="Y160" s="289">
        <f t="shared" ref="Y160:Z160" si="191">Y55 * (1 - Y$114)</f>
        <v>0</v>
      </c>
      <c r="Z160" s="289">
        <f t="shared" si="191"/>
        <v>0</v>
      </c>
      <c r="AA160" s="289">
        <f t="shared" ref="AA160:AB160" si="192">AA55 * (1 - AA$114)</f>
        <v>0</v>
      </c>
      <c r="AB160" s="289">
        <f t="shared" si="192"/>
        <v>0</v>
      </c>
      <c r="AC160" s="271"/>
      <c r="AD160" s="271"/>
    </row>
    <row r="161" spans="4:30" x14ac:dyDescent="0.25">
      <c r="F161" t="s">
        <v>193</v>
      </c>
      <c r="G161" t="s">
        <v>268</v>
      </c>
      <c r="H161" s="271"/>
      <c r="I161" s="271"/>
      <c r="J161" s="289">
        <f t="shared" ref="J161:K161" si="193">J56 * (1 - J$115)</f>
        <v>0.1438617225082271</v>
      </c>
      <c r="K161" s="289">
        <f t="shared" si="193"/>
        <v>0.1438617225082271</v>
      </c>
      <c r="L161" s="289">
        <f t="shared" ref="L161:M161" si="194">L56 * (1 - L$115)</f>
        <v>0.16709611878268379</v>
      </c>
      <c r="M161" s="289">
        <f t="shared" si="194"/>
        <v>0.16709611878268379</v>
      </c>
      <c r="N161" s="289">
        <f t="shared" ref="N161:P161" si="195">N56 * (1 - N$115)</f>
        <v>0.12916986183179766</v>
      </c>
      <c r="O161" s="289">
        <f t="shared" si="195"/>
        <v>0.10505881299567355</v>
      </c>
      <c r="P161" s="289">
        <f t="shared" si="195"/>
        <v>8.1230433768116644E-2</v>
      </c>
      <c r="Q161" s="289">
        <f t="shared" ref="Q161:S161" si="196">Q56 * (1 - Q$115)</f>
        <v>0.12916986183179766</v>
      </c>
      <c r="R161" s="289">
        <f t="shared" si="196"/>
        <v>0.10505881299567355</v>
      </c>
      <c r="S161" s="289">
        <f t="shared" si="196"/>
        <v>8.1230433768116644E-2</v>
      </c>
      <c r="T161" s="289">
        <f t="shared" ref="T161:V161" si="197">T56 * (1 - T$115)</f>
        <v>0.12323803469373426</v>
      </c>
      <c r="U161" s="289">
        <f t="shared" si="197"/>
        <v>-0.10287620751873476</v>
      </c>
      <c r="V161" s="289">
        <f t="shared" si="197"/>
        <v>-9.7816721903059289E-2</v>
      </c>
      <c r="W161" s="289">
        <f t="shared" ref="W161:X161" si="198">W56 * (1 - W$115)</f>
        <v>-0.10287620751873476</v>
      </c>
      <c r="X161" s="289">
        <f t="shared" si="198"/>
        <v>-0.10287620751873476</v>
      </c>
      <c r="Y161" s="289">
        <f t="shared" ref="Y161:Z161" si="199">Y56 * (1 - Y$115)</f>
        <v>-9.7816721903059289E-2</v>
      </c>
      <c r="Z161" s="289">
        <f t="shared" si="199"/>
        <v>-9.7816721903059289E-2</v>
      </c>
      <c r="AA161" s="289">
        <f t="shared" ref="AA161:AB161" si="200">AA56 * (1 - AA$115)</f>
        <v>-9.3140530652207704E-2</v>
      </c>
      <c r="AB161" s="289">
        <f t="shared" si="200"/>
        <v>-9.3140530652207704E-2</v>
      </c>
      <c r="AC161" s="271"/>
      <c r="AD161" s="271"/>
    </row>
    <row r="162" spans="4:30" x14ac:dyDescent="0.25">
      <c r="F162" t="s">
        <v>194</v>
      </c>
      <c r="G162" t="s">
        <v>268</v>
      </c>
      <c r="H162" s="271"/>
      <c r="I162" s="271"/>
      <c r="J162" s="289">
        <f t="shared" ref="J162:K162" si="201">J57 * (1 - J$116)</f>
        <v>4.8523421577766256E-2</v>
      </c>
      <c r="K162" s="289">
        <f t="shared" si="201"/>
        <v>4.8523421577766256E-2</v>
      </c>
      <c r="L162" s="289">
        <f t="shared" ref="L162:M162" si="202">L57 * (1 - L$116)</f>
        <v>5.6360199741366176E-2</v>
      </c>
      <c r="M162" s="289">
        <f t="shared" si="202"/>
        <v>5.6360199741366176E-2</v>
      </c>
      <c r="N162" s="289">
        <f t="shared" ref="N162:P162" si="203">N57 * (1 - N$116)</f>
        <v>4.356797313091882E-2</v>
      </c>
      <c r="O162" s="289">
        <f t="shared" si="203"/>
        <v>3.5435506989409539E-2</v>
      </c>
      <c r="P162" s="289">
        <f t="shared" si="203"/>
        <v>0</v>
      </c>
      <c r="Q162" s="289">
        <f t="shared" ref="Q162:S162" si="204">Q57 * (1 - Q$116)</f>
        <v>4.356797313091882E-2</v>
      </c>
      <c r="R162" s="289">
        <f t="shared" si="204"/>
        <v>3.5435506989409539E-2</v>
      </c>
      <c r="S162" s="289">
        <f t="shared" si="204"/>
        <v>0</v>
      </c>
      <c r="T162" s="289">
        <f t="shared" ref="T162:V162" si="205">T57 * (1 - T$116)</f>
        <v>3.699604555862028E-2</v>
      </c>
      <c r="U162" s="289">
        <f t="shared" si="205"/>
        <v>-3.4699331418528372E-2</v>
      </c>
      <c r="V162" s="289">
        <f t="shared" si="205"/>
        <v>-3.2992806922535173E-2</v>
      </c>
      <c r="W162" s="289">
        <f t="shared" ref="W162:X162" si="206">W57 * (1 - W$116)</f>
        <v>-3.4699331418528372E-2</v>
      </c>
      <c r="X162" s="289">
        <f t="shared" si="206"/>
        <v>-3.4699331418528372E-2</v>
      </c>
      <c r="Y162" s="289">
        <f t="shared" ref="Y162:Z162" si="207">Y57 * (1 - Y$116)</f>
        <v>-3.2992806922535173E-2</v>
      </c>
      <c r="Z162" s="289">
        <f t="shared" si="207"/>
        <v>-3.2992806922535173E-2</v>
      </c>
      <c r="AA162" s="289">
        <f t="shared" ref="AA162:AB162" si="208">AA57 * (1 - AA$116)</f>
        <v>-2.7815787359196549E-2</v>
      </c>
      <c r="AB162" s="289">
        <f t="shared" si="208"/>
        <v>-2.7815787359196549E-2</v>
      </c>
      <c r="AC162" s="271"/>
      <c r="AD162" s="271"/>
    </row>
    <row r="163" spans="4:30" x14ac:dyDescent="0.25">
      <c r="F163" t="s">
        <v>195</v>
      </c>
      <c r="G163" t="s">
        <v>268</v>
      </c>
      <c r="H163" s="271"/>
      <c r="I163" s="271"/>
      <c r="J163" s="289">
        <f t="shared" ref="J163:K163" si="209">J58 * (1 - J$117)</f>
        <v>0</v>
      </c>
      <c r="K163" s="289">
        <f t="shared" si="209"/>
        <v>0</v>
      </c>
      <c r="L163" s="289">
        <f t="shared" ref="L163:M163" si="210">L58 * (1 - L$117)</f>
        <v>0</v>
      </c>
      <c r="M163" s="289">
        <f t="shared" si="210"/>
        <v>0</v>
      </c>
      <c r="N163" s="289">
        <f t="shared" ref="N163:P163" si="211">N58 * (1 - N$117)</f>
        <v>0</v>
      </c>
      <c r="O163" s="289">
        <f t="shared" si="211"/>
        <v>0</v>
      </c>
      <c r="P163" s="289">
        <f t="shared" si="211"/>
        <v>0</v>
      </c>
      <c r="Q163" s="289">
        <f t="shared" ref="Q163:S163" si="212">Q58 * (1 - Q$117)</f>
        <v>0</v>
      </c>
      <c r="R163" s="289">
        <f t="shared" si="212"/>
        <v>0</v>
      </c>
      <c r="S163" s="289">
        <f t="shared" si="212"/>
        <v>0</v>
      </c>
      <c r="T163" s="289">
        <f t="shared" ref="T163:V163" si="213">T58 * (1 - T$117)</f>
        <v>0</v>
      </c>
      <c r="U163" s="289">
        <f t="shared" si="213"/>
        <v>0</v>
      </c>
      <c r="V163" s="289">
        <f t="shared" si="213"/>
        <v>0</v>
      </c>
      <c r="W163" s="289">
        <f t="shared" ref="W163:X163" si="214">W58 * (1 - W$117)</f>
        <v>0</v>
      </c>
      <c r="X163" s="289">
        <f t="shared" si="214"/>
        <v>0</v>
      </c>
      <c r="Y163" s="289">
        <f t="shared" ref="Y163:Z163" si="215">Y58 * (1 - Y$117)</f>
        <v>0</v>
      </c>
      <c r="Z163" s="289">
        <f t="shared" si="215"/>
        <v>0</v>
      </c>
      <c r="AA163" s="289">
        <f t="shared" ref="AA163:AB163" si="216">AA58 * (1 - AA$117)</f>
        <v>0</v>
      </c>
      <c r="AB163" s="289">
        <f t="shared" si="216"/>
        <v>0</v>
      </c>
      <c r="AC163" s="271"/>
      <c r="AD163" s="271"/>
    </row>
    <row r="164" spans="4:30" x14ac:dyDescent="0.25">
      <c r="F164" t="s">
        <v>196</v>
      </c>
      <c r="G164" t="s">
        <v>268</v>
      </c>
      <c r="H164" s="271"/>
      <c r="I164" s="271"/>
      <c r="J164" s="289">
        <f t="shared" ref="J164:K164" si="217">J59 * (1 - J$118)</f>
        <v>0.16686319527226703</v>
      </c>
      <c r="K164" s="289">
        <f t="shared" si="217"/>
        <v>0.16686319527226703</v>
      </c>
      <c r="L164" s="289">
        <f t="shared" ref="L164:M164" si="218">L59 * (1 - L$118)</f>
        <v>0.19381244580940135</v>
      </c>
      <c r="M164" s="289">
        <f t="shared" si="218"/>
        <v>0.19381244580940135</v>
      </c>
      <c r="N164" s="289">
        <f t="shared" ref="N164:P164" si="219">N59 * (1 - N$118)</f>
        <v>0.11985784962027496</v>
      </c>
      <c r="O164" s="289">
        <f t="shared" si="219"/>
        <v>0</v>
      </c>
      <c r="P164" s="289">
        <f t="shared" si="219"/>
        <v>0</v>
      </c>
      <c r="Q164" s="289">
        <f t="shared" ref="Q164:S164" si="220">Q59 * (1 - Q$118)</f>
        <v>0.11985784962027496</v>
      </c>
      <c r="R164" s="289">
        <f t="shared" si="220"/>
        <v>0</v>
      </c>
      <c r="S164" s="289">
        <f t="shared" si="220"/>
        <v>0</v>
      </c>
      <c r="T164" s="289">
        <f t="shared" ref="T164:V164" si="221">T59 * (1 - T$118)</f>
        <v>0.12722265194048846</v>
      </c>
      <c r="U164" s="289">
        <f t="shared" si="221"/>
        <v>-0.11932467097415166</v>
      </c>
      <c r="V164" s="289">
        <f t="shared" si="221"/>
        <v>-0.11345624453279995</v>
      </c>
      <c r="W164" s="289">
        <f t="shared" ref="W164:X164" si="222">W59 * (1 - W$118)</f>
        <v>-0.11932467097415166</v>
      </c>
      <c r="X164" s="289">
        <f t="shared" si="222"/>
        <v>-0.11932467097415166</v>
      </c>
      <c r="Y164" s="289">
        <f t="shared" ref="Y164:Z164" si="223">Y59 * (1 - Y$118)</f>
        <v>-0.11345624453279995</v>
      </c>
      <c r="Z164" s="289">
        <f t="shared" si="223"/>
        <v>-0.11345624453279995</v>
      </c>
      <c r="AA164" s="289">
        <f t="shared" ref="AA164:AB164" si="224">AA59 * (1 - AA$118)</f>
        <v>0</v>
      </c>
      <c r="AB164" s="289">
        <f t="shared" si="224"/>
        <v>0</v>
      </c>
      <c r="AC164" s="271"/>
      <c r="AD164" s="271"/>
    </row>
    <row r="165" spans="4:30" x14ac:dyDescent="0.25">
      <c r="F165" t="s">
        <v>197</v>
      </c>
      <c r="G165" t="s">
        <v>268</v>
      </c>
      <c r="H165" s="271"/>
      <c r="I165" s="271"/>
      <c r="J165" s="289">
        <f t="shared" ref="J165:K165" si="225">J60 * (1 - J$119)</f>
        <v>3.8315656300647608E-2</v>
      </c>
      <c r="K165" s="289">
        <f t="shared" si="225"/>
        <v>3.8315656300647608E-2</v>
      </c>
      <c r="L165" s="289">
        <f t="shared" ref="L165:M165" si="226">L60 * (1 - L$119)</f>
        <v>4.4503828710123795E-2</v>
      </c>
      <c r="M165" s="289">
        <f t="shared" si="226"/>
        <v>4.4503828710123795E-2</v>
      </c>
      <c r="N165" s="289">
        <f t="shared" ref="N165:P165" si="227">N60 * (1 - N$119)</f>
        <v>0</v>
      </c>
      <c r="O165" s="289">
        <f t="shared" si="227"/>
        <v>0</v>
      </c>
      <c r="P165" s="289">
        <f t="shared" si="227"/>
        <v>0</v>
      </c>
      <c r="Q165" s="289">
        <f t="shared" ref="Q165:S165" si="228">Q60 * (1 - Q$119)</f>
        <v>0</v>
      </c>
      <c r="R165" s="289">
        <f t="shared" si="228"/>
        <v>0</v>
      </c>
      <c r="S165" s="289">
        <f t="shared" si="228"/>
        <v>0</v>
      </c>
      <c r="T165" s="289">
        <f t="shared" ref="T165:V165" si="229">T60 * (1 - T$119)</f>
        <v>2.9213268974352696E-2</v>
      </c>
      <c r="U165" s="289">
        <f t="shared" si="229"/>
        <v>-2.7399709527157375E-2</v>
      </c>
      <c r="V165" s="289">
        <f t="shared" si="229"/>
        <v>0</v>
      </c>
      <c r="W165" s="289">
        <f t="shared" ref="W165:X165" si="230">W60 * (1 - W$119)</f>
        <v>-2.7399709527157375E-2</v>
      </c>
      <c r="X165" s="289">
        <f t="shared" si="230"/>
        <v>-2.7399709527157375E-2</v>
      </c>
      <c r="Y165" s="289">
        <f t="shared" ref="Y165:Z165" si="231">Y60 * (1 - Y$119)</f>
        <v>0</v>
      </c>
      <c r="Z165" s="289">
        <f t="shared" si="231"/>
        <v>0</v>
      </c>
      <c r="AA165" s="289">
        <f t="shared" ref="AA165:AB165" si="232">AA60 * (1 - AA$119)</f>
        <v>0</v>
      </c>
      <c r="AB165" s="289">
        <f t="shared" si="232"/>
        <v>0</v>
      </c>
      <c r="AC165" s="271"/>
      <c r="AD165" s="271"/>
    </row>
    <row r="166" spans="4:30" x14ac:dyDescent="0.25">
      <c r="F166" t="s">
        <v>198</v>
      </c>
      <c r="G166" t="s">
        <v>268</v>
      </c>
      <c r="H166" s="271"/>
      <c r="I166" s="271"/>
      <c r="J166" s="289">
        <f t="shared" ref="J166:K166" si="233">J61 * (1 - J$120)</f>
        <v>0</v>
      </c>
      <c r="K166" s="289">
        <f t="shared" si="233"/>
        <v>0</v>
      </c>
      <c r="L166" s="289">
        <f t="shared" ref="L166:M166" si="234">L61 * (1 - L$120)</f>
        <v>0</v>
      </c>
      <c r="M166" s="289">
        <f t="shared" si="234"/>
        <v>0</v>
      </c>
      <c r="N166" s="289">
        <f t="shared" ref="N166:P166" si="235">N61 * (1 - N$120)</f>
        <v>0</v>
      </c>
      <c r="O166" s="289">
        <f t="shared" si="235"/>
        <v>0</v>
      </c>
      <c r="P166" s="289">
        <f t="shared" si="235"/>
        <v>0</v>
      </c>
      <c r="Q166" s="289">
        <f t="shared" ref="Q166:S166" si="236">Q61 * (1 - Q$120)</f>
        <v>0</v>
      </c>
      <c r="R166" s="289">
        <f t="shared" si="236"/>
        <v>0</v>
      </c>
      <c r="S166" s="289">
        <f t="shared" si="236"/>
        <v>0</v>
      </c>
      <c r="T166" s="289">
        <f t="shared" ref="T166:V166" si="237">T61 * (1 - T$120)</f>
        <v>5.1324847781792039E-3</v>
      </c>
      <c r="U166" s="289">
        <f t="shared" si="237"/>
        <v>0</v>
      </c>
      <c r="V166" s="289">
        <f t="shared" si="237"/>
        <v>0</v>
      </c>
      <c r="W166" s="289">
        <f t="shared" ref="W166:X166" si="238">W61 * (1 - W$120)</f>
        <v>0</v>
      </c>
      <c r="X166" s="289">
        <f t="shared" si="238"/>
        <v>0</v>
      </c>
      <c r="Y166" s="289">
        <f t="shared" ref="Y166:Z166" si="239">Y61 * (1 - Y$120)</f>
        <v>0</v>
      </c>
      <c r="Z166" s="289">
        <f t="shared" si="239"/>
        <v>0</v>
      </c>
      <c r="AA166" s="289">
        <f t="shared" ref="AA166:AB166" si="240">AA61 * (1 - AA$120)</f>
        <v>0</v>
      </c>
      <c r="AB166" s="289">
        <f t="shared" si="240"/>
        <v>0</v>
      </c>
      <c r="AC166" s="271"/>
      <c r="AD166" s="271"/>
    </row>
    <row r="167" spans="4:30" x14ac:dyDescent="0.25">
      <c r="D167"/>
      <c r="F167" s="23" t="s">
        <v>375</v>
      </c>
      <c r="G167" s="23" t="s">
        <v>268</v>
      </c>
      <c r="H167" s="269"/>
      <c r="I167" s="269"/>
      <c r="J167" s="287"/>
      <c r="K167" s="287"/>
      <c r="L167" s="287"/>
      <c r="M167" s="287"/>
      <c r="N167" s="287"/>
      <c r="O167" s="287"/>
      <c r="P167" s="287"/>
      <c r="Q167" s="287"/>
      <c r="R167" s="287"/>
      <c r="S167" s="287"/>
      <c r="T167" s="287"/>
      <c r="U167" s="287"/>
      <c r="V167" s="287"/>
      <c r="W167" s="287"/>
      <c r="X167" s="287"/>
      <c r="Y167" s="287"/>
      <c r="Z167" s="287"/>
      <c r="AA167" s="287"/>
      <c r="AB167" s="287"/>
      <c r="AC167" s="271"/>
      <c r="AD167" s="271"/>
    </row>
    <row r="168" spans="4:30" x14ac:dyDescent="0.25">
      <c r="D168"/>
      <c r="F168" s="37" t="s">
        <v>376</v>
      </c>
      <c r="G168" s="37" t="s">
        <v>268</v>
      </c>
      <c r="H168" s="275"/>
      <c r="I168" s="275"/>
      <c r="J168" s="276"/>
      <c r="K168" s="276"/>
      <c r="L168" s="276"/>
      <c r="M168" s="276"/>
      <c r="N168" s="276"/>
      <c r="O168" s="276"/>
      <c r="P168" s="276"/>
      <c r="Q168" s="276"/>
      <c r="R168" s="276"/>
      <c r="S168" s="276"/>
      <c r="T168" s="276"/>
      <c r="U168" s="276"/>
      <c r="V168" s="276"/>
      <c r="W168" s="276"/>
      <c r="X168" s="276"/>
      <c r="Y168" s="276"/>
      <c r="Z168" s="276"/>
      <c r="AA168" s="276"/>
      <c r="AB168" s="276"/>
      <c r="AC168" s="271"/>
      <c r="AD168" s="271"/>
    </row>
    <row r="169" spans="4:30" x14ac:dyDescent="0.25">
      <c r="D169"/>
      <c r="J169" s="89"/>
      <c r="K169" s="89"/>
      <c r="L169" s="89"/>
      <c r="M169" s="89"/>
      <c r="N169" s="89"/>
      <c r="O169" s="89"/>
      <c r="P169" s="89"/>
      <c r="Q169" s="89"/>
      <c r="R169" s="89"/>
      <c r="S169" s="89"/>
      <c r="T169" s="89"/>
      <c r="U169" s="89"/>
      <c r="V169" s="89"/>
      <c r="W169" s="89"/>
      <c r="X169" s="89"/>
      <c r="Y169" s="89"/>
      <c r="Z169" s="89"/>
      <c r="AA169" s="89"/>
      <c r="AB169" s="89"/>
    </row>
    <row r="170" spans="4:30" x14ac:dyDescent="0.25">
      <c r="E170" s="32" t="s">
        <v>621</v>
      </c>
      <c r="J170" s="89"/>
      <c r="K170" s="89"/>
      <c r="L170" s="89"/>
      <c r="M170" s="89"/>
      <c r="N170" s="89"/>
      <c r="O170" s="89"/>
      <c r="P170" s="89"/>
      <c r="Q170" s="89"/>
      <c r="R170" s="89"/>
      <c r="S170" s="89"/>
      <c r="T170" s="89"/>
      <c r="U170" s="89"/>
      <c r="V170" s="89"/>
      <c r="W170" s="89"/>
      <c r="X170" s="89"/>
      <c r="Y170" s="89"/>
      <c r="Z170" s="89"/>
      <c r="AA170" s="89"/>
      <c r="AB170" s="89"/>
    </row>
    <row r="171" spans="4:30" x14ac:dyDescent="0.25">
      <c r="F171" s="23" t="s">
        <v>188</v>
      </c>
      <c r="G171" s="23" t="s">
        <v>268</v>
      </c>
      <c r="H171" s="269"/>
      <c r="I171" s="269"/>
      <c r="J171" s="288">
        <f t="shared" ref="J171:K171" si="241">J66 * (1 - J$112)</f>
        <v>0.15021599433191743</v>
      </c>
      <c r="K171" s="288">
        <f t="shared" si="241"/>
        <v>0.15021599433191743</v>
      </c>
      <c r="L171" s="288">
        <f t="shared" ref="L171:M171" si="242">L66 * (1 - L$112)</f>
        <v>0.17447663766509949</v>
      </c>
      <c r="M171" s="288">
        <f t="shared" si="242"/>
        <v>0.17447663766509949</v>
      </c>
      <c r="N171" s="288">
        <f t="shared" ref="N171:P171" si="243">N66 * (1 - N$112)</f>
        <v>0.13487520442882392</v>
      </c>
      <c r="O171" s="288">
        <f t="shared" si="243"/>
        <v>0.10969918740249729</v>
      </c>
      <c r="P171" s="288">
        <f t="shared" si="243"/>
        <v>0.10942611104029204</v>
      </c>
      <c r="Q171" s="288">
        <f t="shared" ref="Q171:S171" si="244">Q66 * (1 - Q$112)</f>
        <v>0.13487520442882392</v>
      </c>
      <c r="R171" s="288">
        <f t="shared" si="244"/>
        <v>0.10969918740249729</v>
      </c>
      <c r="S171" s="288">
        <f t="shared" si="244"/>
        <v>0.10942611104029204</v>
      </c>
      <c r="T171" s="288">
        <f t="shared" ref="T171:V171" si="245">T66 * (1 - T$112)</f>
        <v>0.12868137262830254</v>
      </c>
      <c r="U171" s="288">
        <f t="shared" si="245"/>
        <v>-0.10742017776576855</v>
      </c>
      <c r="V171" s="288">
        <f t="shared" si="245"/>
        <v>-0.10213721820351762</v>
      </c>
      <c r="W171" s="288">
        <f t="shared" ref="W171:X171" si="246">W66 * (1 - W$112)</f>
        <v>-0.10742017776576855</v>
      </c>
      <c r="X171" s="288">
        <f t="shared" si="246"/>
        <v>-0.10742017776576855</v>
      </c>
      <c r="Y171" s="288">
        <f t="shared" ref="Y171:Z171" si="247">Y66 * (1 - Y$112)</f>
        <v>-0.10213721820351762</v>
      </c>
      <c r="Z171" s="288">
        <f t="shared" si="247"/>
        <v>-0.10213721820351762</v>
      </c>
      <c r="AA171" s="288">
        <f t="shared" ref="AA171:AB171" si="248">AA66 * (1 - AA$112)</f>
        <v>-0.10037623168276731</v>
      </c>
      <c r="AB171" s="288">
        <f t="shared" si="248"/>
        <v>-0.10037623168276731</v>
      </c>
      <c r="AC171" s="271"/>
      <c r="AD171" s="271"/>
    </row>
    <row r="172" spans="4:30" x14ac:dyDescent="0.25">
      <c r="F172" t="s">
        <v>190</v>
      </c>
      <c r="G172" t="s">
        <v>268</v>
      </c>
      <c r="H172" s="271"/>
      <c r="I172" s="271"/>
      <c r="J172" s="289">
        <f t="shared" ref="J172:K172" si="249">J67 * (1 - J$112)</f>
        <v>0</v>
      </c>
      <c r="K172" s="289">
        <f t="shared" si="249"/>
        <v>0</v>
      </c>
      <c r="L172" s="289">
        <f t="shared" ref="L172:M172" si="250">L67 * (1 - L$112)</f>
        <v>0</v>
      </c>
      <c r="M172" s="289">
        <f t="shared" si="250"/>
        <v>0</v>
      </c>
      <c r="N172" s="289">
        <f t="shared" ref="N172:P172" si="251">N67 * (1 - N$112)</f>
        <v>0</v>
      </c>
      <c r="O172" s="289">
        <f t="shared" si="251"/>
        <v>0</v>
      </c>
      <c r="P172" s="289">
        <f t="shared" si="251"/>
        <v>0</v>
      </c>
      <c r="Q172" s="289">
        <f t="shared" ref="Q172:S172" si="252">Q67 * (1 - Q$112)</f>
        <v>0</v>
      </c>
      <c r="R172" s="289">
        <f t="shared" si="252"/>
        <v>0</v>
      </c>
      <c r="S172" s="289">
        <f t="shared" si="252"/>
        <v>0</v>
      </c>
      <c r="T172" s="289">
        <f t="shared" ref="T172:V172" si="253">T67 * (1 - T$112)</f>
        <v>0</v>
      </c>
      <c r="U172" s="289">
        <f t="shared" si="253"/>
        <v>0</v>
      </c>
      <c r="V172" s="289">
        <f t="shared" si="253"/>
        <v>0</v>
      </c>
      <c r="W172" s="289">
        <f t="shared" ref="W172:X172" si="254">W67 * (1 - W$112)</f>
        <v>0</v>
      </c>
      <c r="X172" s="289">
        <f t="shared" si="254"/>
        <v>0</v>
      </c>
      <c r="Y172" s="289">
        <f t="shared" ref="Y172:Z172" si="255">Y67 * (1 - Y$112)</f>
        <v>0</v>
      </c>
      <c r="Z172" s="289">
        <f t="shared" si="255"/>
        <v>0</v>
      </c>
      <c r="AA172" s="289">
        <f t="shared" ref="AA172:AB172" si="256">AA67 * (1 - AA$112)</f>
        <v>0</v>
      </c>
      <c r="AB172" s="289">
        <f t="shared" si="256"/>
        <v>0</v>
      </c>
      <c r="AC172" s="271"/>
      <c r="AD172" s="271"/>
    </row>
    <row r="173" spans="4:30" x14ac:dyDescent="0.25">
      <c r="F173" t="s">
        <v>191</v>
      </c>
      <c r="G173" t="s">
        <v>268</v>
      </c>
      <c r="H173" s="271"/>
      <c r="I173" s="271"/>
      <c r="J173" s="289">
        <f t="shared" ref="J173:K173" si="257">J68 * (1 - J$113)</f>
        <v>0</v>
      </c>
      <c r="K173" s="289">
        <f t="shared" si="257"/>
        <v>0</v>
      </c>
      <c r="L173" s="289">
        <f t="shared" ref="L173:M173" si="258">L68 * (1 - L$113)</f>
        <v>0</v>
      </c>
      <c r="M173" s="289">
        <f t="shared" si="258"/>
        <v>0</v>
      </c>
      <c r="N173" s="289">
        <f t="shared" ref="N173:P173" si="259">N68 * (1 - N$113)</f>
        <v>0</v>
      </c>
      <c r="O173" s="289">
        <f t="shared" si="259"/>
        <v>0</v>
      </c>
      <c r="P173" s="289">
        <f t="shared" si="259"/>
        <v>0</v>
      </c>
      <c r="Q173" s="289">
        <f t="shared" ref="Q173:S173" si="260">Q68 * (1 - Q$113)</f>
        <v>0</v>
      </c>
      <c r="R173" s="289">
        <f t="shared" si="260"/>
        <v>0</v>
      </c>
      <c r="S173" s="289">
        <f t="shared" si="260"/>
        <v>0</v>
      </c>
      <c r="T173" s="289">
        <f t="shared" ref="T173:V173" si="261">T68 * (1 - T$113)</f>
        <v>0</v>
      </c>
      <c r="U173" s="289">
        <f t="shared" si="261"/>
        <v>0</v>
      </c>
      <c r="V173" s="289">
        <f t="shared" si="261"/>
        <v>0</v>
      </c>
      <c r="W173" s="289">
        <f t="shared" ref="W173:X173" si="262">W68 * (1 - W$113)</f>
        <v>0</v>
      </c>
      <c r="X173" s="289">
        <f t="shared" si="262"/>
        <v>0</v>
      </c>
      <c r="Y173" s="289">
        <f t="shared" ref="Y173:Z173" si="263">Y68 * (1 - Y$113)</f>
        <v>0</v>
      </c>
      <c r="Z173" s="289">
        <f t="shared" si="263"/>
        <v>0</v>
      </c>
      <c r="AA173" s="289">
        <f t="shared" ref="AA173:AB173" si="264">AA68 * (1 - AA$113)</f>
        <v>0</v>
      </c>
      <c r="AB173" s="289">
        <f t="shared" si="264"/>
        <v>0</v>
      </c>
      <c r="AC173" s="271"/>
      <c r="AD173" s="271"/>
    </row>
    <row r="174" spans="4:30" x14ac:dyDescent="0.25">
      <c r="F174" t="s">
        <v>192</v>
      </c>
      <c r="G174" t="s">
        <v>268</v>
      </c>
      <c r="H174" s="271"/>
      <c r="I174" s="271"/>
      <c r="J174" s="289">
        <f t="shared" ref="J174:K174" si="265">J69 * (1 - J$114)</f>
        <v>0</v>
      </c>
      <c r="K174" s="289">
        <f t="shared" si="265"/>
        <v>0</v>
      </c>
      <c r="L174" s="289">
        <f t="shared" ref="L174:M174" si="266">L69 * (1 - L$114)</f>
        <v>0</v>
      </c>
      <c r="M174" s="289">
        <f t="shared" si="266"/>
        <v>0</v>
      </c>
      <c r="N174" s="289">
        <f t="shared" ref="N174:P174" si="267">N69 * (1 - N$114)</f>
        <v>0</v>
      </c>
      <c r="O174" s="289">
        <f t="shared" si="267"/>
        <v>0</v>
      </c>
      <c r="P174" s="289">
        <f t="shared" si="267"/>
        <v>0</v>
      </c>
      <c r="Q174" s="289">
        <f t="shared" ref="Q174:S174" si="268">Q69 * (1 - Q$114)</f>
        <v>0</v>
      </c>
      <c r="R174" s="289">
        <f t="shared" si="268"/>
        <v>0</v>
      </c>
      <c r="S174" s="289">
        <f t="shared" si="268"/>
        <v>0</v>
      </c>
      <c r="T174" s="289">
        <f t="shared" ref="T174:V174" si="269">T69 * (1 - T$114)</f>
        <v>0</v>
      </c>
      <c r="U174" s="289">
        <f t="shared" si="269"/>
        <v>0</v>
      </c>
      <c r="V174" s="289">
        <f t="shared" si="269"/>
        <v>0</v>
      </c>
      <c r="W174" s="289">
        <f t="shared" ref="W174:X174" si="270">W69 * (1 - W$114)</f>
        <v>0</v>
      </c>
      <c r="X174" s="289">
        <f t="shared" si="270"/>
        <v>0</v>
      </c>
      <c r="Y174" s="289">
        <f t="shared" ref="Y174:Z174" si="271">Y69 * (1 - Y$114)</f>
        <v>0</v>
      </c>
      <c r="Z174" s="289">
        <f t="shared" si="271"/>
        <v>0</v>
      </c>
      <c r="AA174" s="289">
        <f t="shared" ref="AA174:AB174" si="272">AA69 * (1 - AA$114)</f>
        <v>0</v>
      </c>
      <c r="AB174" s="289">
        <f t="shared" si="272"/>
        <v>0</v>
      </c>
      <c r="AC174" s="271"/>
      <c r="AD174" s="271"/>
    </row>
    <row r="175" spans="4:30" x14ac:dyDescent="0.25">
      <c r="F175" t="s">
        <v>193</v>
      </c>
      <c r="G175" t="s">
        <v>268</v>
      </c>
      <c r="H175" s="271"/>
      <c r="I175" s="271"/>
      <c r="J175" s="289">
        <f t="shared" ref="J175:K175" si="273">J70 * (1 - J$115)</f>
        <v>0.10632005430821767</v>
      </c>
      <c r="K175" s="289">
        <f t="shared" si="273"/>
        <v>0.10632005430821767</v>
      </c>
      <c r="L175" s="289">
        <f t="shared" ref="L175:M175" si="274">L70 * (1 - L$115)</f>
        <v>0.12349128116863302</v>
      </c>
      <c r="M175" s="289">
        <f t="shared" si="274"/>
        <v>0.12349128116863302</v>
      </c>
      <c r="N175" s="289">
        <f t="shared" ref="N175:P175" si="275">N70 * (1 - N$115)</f>
        <v>9.5462131868720837E-2</v>
      </c>
      <c r="O175" s="289">
        <f t="shared" si="275"/>
        <v>7.7643020732065263E-2</v>
      </c>
      <c r="P175" s="289">
        <f t="shared" si="275"/>
        <v>6.1959793936903887E-2</v>
      </c>
      <c r="Q175" s="289">
        <f t="shared" ref="Q175:S175" si="276">Q70 * (1 - Q$115)</f>
        <v>9.5462131868720837E-2</v>
      </c>
      <c r="R175" s="289">
        <f t="shared" si="276"/>
        <v>7.7643020732065263E-2</v>
      </c>
      <c r="S175" s="289">
        <f t="shared" si="276"/>
        <v>6.1959793936903887E-2</v>
      </c>
      <c r="T175" s="289">
        <f t="shared" ref="T175:V175" si="277">T70 * (1 - T$115)</f>
        <v>9.1078254264100933E-2</v>
      </c>
      <c r="U175" s="289">
        <f t="shared" si="277"/>
        <v>-7.6029980593273136E-2</v>
      </c>
      <c r="V175" s="289">
        <f t="shared" si="277"/>
        <v>-7.2290801219833487E-2</v>
      </c>
      <c r="W175" s="289">
        <f t="shared" ref="W175:X175" si="278">W70 * (1 - W$115)</f>
        <v>-7.6029980593273136E-2</v>
      </c>
      <c r="X175" s="289">
        <f t="shared" si="278"/>
        <v>-7.6029980593273136E-2</v>
      </c>
      <c r="Y175" s="289">
        <f t="shared" ref="Y175:Z175" si="279">Y70 * (1 - Y$115)</f>
        <v>-7.2290801219833487E-2</v>
      </c>
      <c r="Z175" s="289">
        <f t="shared" si="279"/>
        <v>-7.2290801219833487E-2</v>
      </c>
      <c r="AA175" s="289">
        <f t="shared" ref="AA175:AB175" si="280">AA70 * (1 - AA$115)</f>
        <v>-7.1044408095353589E-2</v>
      </c>
      <c r="AB175" s="289">
        <f t="shared" si="280"/>
        <v>-7.1044408095353589E-2</v>
      </c>
      <c r="AC175" s="271"/>
      <c r="AD175" s="271"/>
    </row>
    <row r="176" spans="4:30" x14ac:dyDescent="0.25">
      <c r="F176" t="s">
        <v>194</v>
      </c>
      <c r="G176" t="s">
        <v>268</v>
      </c>
      <c r="H176" s="271"/>
      <c r="I176" s="271"/>
      <c r="J176" s="289">
        <f t="shared" ref="J176:K176" si="281">J71 * (1 - J$116)</f>
        <v>3.586091371228798E-2</v>
      </c>
      <c r="K176" s="289">
        <f t="shared" si="281"/>
        <v>3.586091371228798E-2</v>
      </c>
      <c r="L176" s="289">
        <f t="shared" ref="L176:M176" si="282">L71 * (1 - L$116)</f>
        <v>4.1652632770203112E-2</v>
      </c>
      <c r="M176" s="289">
        <f t="shared" si="282"/>
        <v>4.1652632770203112E-2</v>
      </c>
      <c r="N176" s="289">
        <f t="shared" ref="N176:P176" si="283">N71 * (1 - N$116)</f>
        <v>3.2198622320216939E-2</v>
      </c>
      <c r="O176" s="289">
        <f t="shared" si="283"/>
        <v>2.6188377018339912E-2</v>
      </c>
      <c r="P176" s="289">
        <f t="shared" si="283"/>
        <v>0</v>
      </c>
      <c r="Q176" s="289">
        <f t="shared" ref="Q176:S176" si="284">Q71 * (1 - Q$116)</f>
        <v>3.2198622320216939E-2</v>
      </c>
      <c r="R176" s="289">
        <f t="shared" si="284"/>
        <v>2.6188377018339912E-2</v>
      </c>
      <c r="S176" s="289">
        <f t="shared" si="284"/>
        <v>0</v>
      </c>
      <c r="T176" s="289">
        <f t="shared" ref="T176:V176" si="285">T71 * (1 - T$116)</f>
        <v>2.7341682724234446E-2</v>
      </c>
      <c r="U176" s="289">
        <f t="shared" si="285"/>
        <v>-2.5644311332820316E-2</v>
      </c>
      <c r="V176" s="289">
        <f t="shared" si="285"/>
        <v>-2.4383115693501281E-2</v>
      </c>
      <c r="W176" s="289">
        <f t="shared" ref="W176:X176" si="286">W71 * (1 - W$116)</f>
        <v>-2.5644311332820316E-2</v>
      </c>
      <c r="X176" s="289">
        <f t="shared" si="286"/>
        <v>-2.5644311332820316E-2</v>
      </c>
      <c r="Y176" s="289">
        <f t="shared" ref="Y176:Z176" si="287">Y71 * (1 - Y$116)</f>
        <v>-2.4383115693501281E-2</v>
      </c>
      <c r="Z176" s="289">
        <f t="shared" si="287"/>
        <v>-2.4383115693501281E-2</v>
      </c>
      <c r="AA176" s="289">
        <f t="shared" ref="AA176:AB176" si="288">AA71 * (1 - AA$116)</f>
        <v>-2.3962717147061607E-2</v>
      </c>
      <c r="AB176" s="289">
        <f t="shared" si="288"/>
        <v>-2.3962717147061607E-2</v>
      </c>
      <c r="AC176" s="271"/>
      <c r="AD176" s="271"/>
    </row>
    <row r="177" spans="3:30" x14ac:dyDescent="0.25">
      <c r="F177" t="s">
        <v>195</v>
      </c>
      <c r="G177" t="s">
        <v>268</v>
      </c>
      <c r="H177" s="271"/>
      <c r="I177" s="271"/>
      <c r="J177" s="289">
        <f t="shared" ref="J177:K177" si="289">J72 * (1 - J$117)</f>
        <v>0</v>
      </c>
      <c r="K177" s="289">
        <f t="shared" si="289"/>
        <v>0</v>
      </c>
      <c r="L177" s="289">
        <f t="shared" ref="L177:M177" si="290">L72 * (1 - L$117)</f>
        <v>0</v>
      </c>
      <c r="M177" s="289">
        <f t="shared" si="290"/>
        <v>0</v>
      </c>
      <c r="N177" s="289">
        <f t="shared" ref="N177:P177" si="291">N72 * (1 - N$117)</f>
        <v>0</v>
      </c>
      <c r="O177" s="289">
        <f t="shared" si="291"/>
        <v>0</v>
      </c>
      <c r="P177" s="289">
        <f t="shared" si="291"/>
        <v>0</v>
      </c>
      <c r="Q177" s="289">
        <f t="shared" ref="Q177:S177" si="292">Q72 * (1 - Q$117)</f>
        <v>0</v>
      </c>
      <c r="R177" s="289">
        <f t="shared" si="292"/>
        <v>0</v>
      </c>
      <c r="S177" s="289">
        <f t="shared" si="292"/>
        <v>0</v>
      </c>
      <c r="T177" s="289">
        <f t="shared" ref="T177:V177" si="293">T72 * (1 - T$117)</f>
        <v>0</v>
      </c>
      <c r="U177" s="289">
        <f t="shared" si="293"/>
        <v>0</v>
      </c>
      <c r="V177" s="289">
        <f t="shared" si="293"/>
        <v>0</v>
      </c>
      <c r="W177" s="289">
        <f t="shared" ref="W177:X177" si="294">W72 * (1 - W$117)</f>
        <v>0</v>
      </c>
      <c r="X177" s="289">
        <f t="shared" si="294"/>
        <v>0</v>
      </c>
      <c r="Y177" s="289">
        <f t="shared" ref="Y177:Z177" si="295">Y72 * (1 - Y$117)</f>
        <v>0</v>
      </c>
      <c r="Z177" s="289">
        <f t="shared" si="295"/>
        <v>0</v>
      </c>
      <c r="AA177" s="289">
        <f t="shared" ref="AA177:AB177" si="296">AA72 * (1 - AA$117)</f>
        <v>0</v>
      </c>
      <c r="AB177" s="289">
        <f t="shared" si="296"/>
        <v>0</v>
      </c>
      <c r="AC177" s="271"/>
      <c r="AD177" s="271"/>
    </row>
    <row r="178" spans="3:30" x14ac:dyDescent="0.25">
      <c r="F178" t="s">
        <v>196</v>
      </c>
      <c r="G178" t="s">
        <v>268</v>
      </c>
      <c r="H178" s="271"/>
      <c r="I178" s="271"/>
      <c r="J178" s="289">
        <f t="shared" ref="J178:K178" si="297">J73 * (1 - J$118)</f>
        <v>0.15427465541852464</v>
      </c>
      <c r="K178" s="289">
        <f t="shared" si="297"/>
        <v>0.15427465541852464</v>
      </c>
      <c r="L178" s="289">
        <f t="shared" ref="L178:M178" si="298">L73 * (1 - L$118)</f>
        <v>0.1791907930582243</v>
      </c>
      <c r="M178" s="289">
        <f t="shared" si="298"/>
        <v>0.1791907930582243</v>
      </c>
      <c r="N178" s="289">
        <f t="shared" ref="N178:P178" si="299">N73 * (1 - N$118)</f>
        <v>0.11081550020183813</v>
      </c>
      <c r="O178" s="289">
        <f t="shared" si="299"/>
        <v>0</v>
      </c>
      <c r="P178" s="289">
        <f t="shared" si="299"/>
        <v>0</v>
      </c>
      <c r="Q178" s="289">
        <f t="shared" ref="Q178:S178" si="300">Q73 * (1 - Q$118)</f>
        <v>0.11081550020183813</v>
      </c>
      <c r="R178" s="289">
        <f t="shared" si="300"/>
        <v>0</v>
      </c>
      <c r="S178" s="289">
        <f t="shared" si="300"/>
        <v>0</v>
      </c>
      <c r="T178" s="289">
        <f t="shared" ref="T178:V178" si="301">T73 * (1 - T$118)</f>
        <v>0.11762468504528174</v>
      </c>
      <c r="U178" s="289">
        <f t="shared" si="301"/>
        <v>-0.11032254576827975</v>
      </c>
      <c r="V178" s="289">
        <f t="shared" si="301"/>
        <v>-0.10489684679606927</v>
      </c>
      <c r="W178" s="289">
        <f t="shared" ref="W178:X178" si="302">W73 * (1 - W$118)</f>
        <v>-0.11032254576827975</v>
      </c>
      <c r="X178" s="289">
        <f t="shared" si="302"/>
        <v>-0.11032254576827975</v>
      </c>
      <c r="Y178" s="289">
        <f t="shared" ref="Y178:Z178" si="303">Y73 * (1 - Y$118)</f>
        <v>-0.10489684679606927</v>
      </c>
      <c r="Z178" s="289">
        <f t="shared" si="303"/>
        <v>-0.10489684679606927</v>
      </c>
      <c r="AA178" s="289">
        <f t="shared" ref="AA178:AB178" si="304">AA73 * (1 - AA$118)</f>
        <v>0</v>
      </c>
      <c r="AB178" s="289">
        <f t="shared" si="304"/>
        <v>0</v>
      </c>
      <c r="AC178" s="271"/>
      <c r="AD178" s="271"/>
    </row>
    <row r="179" spans="3:30" x14ac:dyDescent="0.25">
      <c r="F179" t="s">
        <v>197</v>
      </c>
      <c r="G179" t="s">
        <v>268</v>
      </c>
      <c r="H179" s="271"/>
      <c r="I179" s="271"/>
      <c r="J179" s="289">
        <f t="shared" ref="J179:K179" si="305">J74 * (1 - J$119)</f>
        <v>3.8773589259178273E-2</v>
      </c>
      <c r="K179" s="289">
        <f t="shared" si="305"/>
        <v>3.8773589259178273E-2</v>
      </c>
      <c r="L179" s="289">
        <f t="shared" ref="L179:M179" si="306">L74 * (1 - L$119)</f>
        <v>4.5035720159072423E-2</v>
      </c>
      <c r="M179" s="289">
        <f t="shared" si="306"/>
        <v>4.5035720159072423E-2</v>
      </c>
      <c r="N179" s="289">
        <f t="shared" ref="N179:P179" si="307">N74 * (1 - N$119)</f>
        <v>0</v>
      </c>
      <c r="O179" s="289">
        <f t="shared" si="307"/>
        <v>0</v>
      </c>
      <c r="P179" s="289">
        <f t="shared" si="307"/>
        <v>0</v>
      </c>
      <c r="Q179" s="289">
        <f t="shared" ref="Q179:S179" si="308">Q74 * (1 - Q$119)</f>
        <v>0</v>
      </c>
      <c r="R179" s="289">
        <f t="shared" si="308"/>
        <v>0</v>
      </c>
      <c r="S179" s="289">
        <f t="shared" si="308"/>
        <v>0</v>
      </c>
      <c r="T179" s="289">
        <f t="shared" ref="T179:V179" si="309">T74 * (1 - T$119)</f>
        <v>2.9562413944878786E-2</v>
      </c>
      <c r="U179" s="289">
        <f t="shared" si="309"/>
        <v>-2.7727179581387928E-2</v>
      </c>
      <c r="V179" s="289">
        <f t="shared" si="309"/>
        <v>0</v>
      </c>
      <c r="W179" s="289">
        <f t="shared" ref="W179:X179" si="310">W74 * (1 - W$119)</f>
        <v>-2.7727179581387928E-2</v>
      </c>
      <c r="X179" s="289">
        <f t="shared" si="310"/>
        <v>-2.7727179581387928E-2</v>
      </c>
      <c r="Y179" s="289">
        <f t="shared" ref="Y179:Z179" si="311">Y74 * (1 - Y$119)</f>
        <v>0</v>
      </c>
      <c r="Z179" s="289">
        <f t="shared" si="311"/>
        <v>0</v>
      </c>
      <c r="AA179" s="289">
        <f t="shared" ref="AA179:AB179" si="312">AA74 * (1 - AA$119)</f>
        <v>0</v>
      </c>
      <c r="AB179" s="289">
        <f t="shared" si="312"/>
        <v>0</v>
      </c>
      <c r="AC179" s="271"/>
      <c r="AD179" s="271"/>
    </row>
    <row r="180" spans="3:30" x14ac:dyDescent="0.25">
      <c r="F180" t="s">
        <v>198</v>
      </c>
      <c r="G180" t="s">
        <v>268</v>
      </c>
      <c r="H180" s="271"/>
      <c r="I180" s="271"/>
      <c r="J180" s="289">
        <f t="shared" ref="J180:K180" si="313">J75 * (1 - J$120)</f>
        <v>0</v>
      </c>
      <c r="K180" s="289">
        <f t="shared" si="313"/>
        <v>0</v>
      </c>
      <c r="L180" s="289">
        <f t="shared" ref="L180:M180" si="314">L75 * (1 - L$120)</f>
        <v>0</v>
      </c>
      <c r="M180" s="289">
        <f t="shared" si="314"/>
        <v>0</v>
      </c>
      <c r="N180" s="289">
        <f t="shared" ref="N180:P180" si="315">N75 * (1 - N$120)</f>
        <v>0</v>
      </c>
      <c r="O180" s="289">
        <f t="shared" si="315"/>
        <v>0</v>
      </c>
      <c r="P180" s="289">
        <f t="shared" si="315"/>
        <v>0</v>
      </c>
      <c r="Q180" s="289">
        <f t="shared" ref="Q180:S180" si="316">Q75 * (1 - Q$120)</f>
        <v>0</v>
      </c>
      <c r="R180" s="289">
        <f t="shared" si="316"/>
        <v>0</v>
      </c>
      <c r="S180" s="289">
        <f t="shared" si="316"/>
        <v>0</v>
      </c>
      <c r="T180" s="289">
        <f t="shared" ref="T180:V180" si="317">T75 * (1 - T$120)</f>
        <v>4.9724914898973988E-2</v>
      </c>
      <c r="U180" s="289">
        <f t="shared" si="317"/>
        <v>0</v>
      </c>
      <c r="V180" s="289">
        <f t="shared" si="317"/>
        <v>0</v>
      </c>
      <c r="W180" s="289">
        <f t="shared" ref="W180:X180" si="318">W75 * (1 - W$120)</f>
        <v>0</v>
      </c>
      <c r="X180" s="289">
        <f t="shared" si="318"/>
        <v>0</v>
      </c>
      <c r="Y180" s="289">
        <f t="shared" ref="Y180:Z180" si="319">Y75 * (1 - Y$120)</f>
        <v>0</v>
      </c>
      <c r="Z180" s="289">
        <f t="shared" si="319"/>
        <v>0</v>
      </c>
      <c r="AA180" s="289">
        <f t="shared" ref="AA180:AB180" si="320">AA75 * (1 - AA$120)</f>
        <v>0</v>
      </c>
      <c r="AB180" s="289">
        <f t="shared" si="320"/>
        <v>0</v>
      </c>
      <c r="AC180" s="271"/>
      <c r="AD180" s="271"/>
    </row>
    <row r="181" spans="3:30" x14ac:dyDescent="0.25">
      <c r="F181" s="23" t="s">
        <v>375</v>
      </c>
      <c r="G181" s="23" t="s">
        <v>268</v>
      </c>
      <c r="H181" s="269"/>
      <c r="I181" s="269" t="s">
        <v>153</v>
      </c>
      <c r="J181" s="287"/>
      <c r="K181" s="287"/>
      <c r="L181" s="287"/>
      <c r="M181" s="287"/>
      <c r="N181" s="287"/>
      <c r="O181" s="287"/>
      <c r="P181" s="287"/>
      <c r="Q181" s="287"/>
      <c r="R181" s="287"/>
      <c r="S181" s="287"/>
      <c r="T181" s="288">
        <f>T76</f>
        <v>0.42942896297178434</v>
      </c>
      <c r="U181" s="287"/>
      <c r="V181" s="287"/>
      <c r="W181" s="287"/>
      <c r="X181" s="287"/>
      <c r="Y181" s="287"/>
      <c r="Z181" s="287"/>
      <c r="AA181" s="287"/>
      <c r="AB181" s="287"/>
      <c r="AC181" s="271"/>
      <c r="AD181" s="271" t="s">
        <v>653</v>
      </c>
    </row>
    <row r="182" spans="3:30" x14ac:dyDescent="0.25">
      <c r="F182" s="37" t="s">
        <v>376</v>
      </c>
      <c r="G182" s="37" t="s">
        <v>268</v>
      </c>
      <c r="H182" s="275"/>
      <c r="I182" s="275"/>
      <c r="J182" s="276"/>
      <c r="K182" s="276"/>
      <c r="L182" s="276"/>
      <c r="M182" s="276"/>
      <c r="N182" s="276"/>
      <c r="O182" s="276"/>
      <c r="P182" s="276"/>
      <c r="Q182" s="276"/>
      <c r="R182" s="276"/>
      <c r="S182" s="276"/>
      <c r="T182" s="276"/>
      <c r="U182" s="276"/>
      <c r="V182" s="276"/>
      <c r="W182" s="276"/>
      <c r="X182" s="276"/>
      <c r="Y182" s="276"/>
      <c r="Z182" s="276"/>
      <c r="AA182" s="276"/>
      <c r="AB182" s="276"/>
      <c r="AC182" s="271"/>
      <c r="AD182" s="271"/>
    </row>
    <row r="183" spans="3:30" x14ac:dyDescent="0.25">
      <c r="E183"/>
      <c r="J183" s="89"/>
      <c r="K183" s="89"/>
      <c r="L183" s="89"/>
      <c r="M183" s="89"/>
      <c r="N183" s="89"/>
      <c r="O183" s="89"/>
      <c r="P183" s="89"/>
      <c r="Q183" s="89"/>
      <c r="R183" s="89"/>
      <c r="S183" s="89"/>
      <c r="T183" s="89"/>
      <c r="U183" s="89"/>
      <c r="V183" s="89"/>
      <c r="W183" s="89"/>
      <c r="X183" s="89"/>
      <c r="Y183" s="89"/>
      <c r="Z183" s="89"/>
      <c r="AA183" s="89"/>
      <c r="AB183" s="89"/>
    </row>
    <row r="184" spans="3:30" x14ac:dyDescent="0.25">
      <c r="C184" s="31" t="str">
        <f ca="1">INDEX('Version control'!$H$34:$H$57,MATCH($A$1,'Version control'!$F$34:$F$57,0),1)&amp;"-G: Contributions to unit rate 3 p/kWh by network level (taking account of standing charges)"</f>
        <v>Section 111-G: Contributions to unit rate 3 p/kWh by network level (taking account of standing charges)</v>
      </c>
      <c r="D184" s="31"/>
      <c r="E184" s="31"/>
      <c r="F184" s="31"/>
      <c r="G184" s="31"/>
      <c r="H184" s="31"/>
      <c r="I184" s="31"/>
      <c r="J184" s="90"/>
      <c r="K184" s="90"/>
      <c r="L184" s="90"/>
      <c r="M184" s="90"/>
      <c r="N184" s="90"/>
      <c r="O184" s="90"/>
      <c r="P184" s="90"/>
      <c r="Q184" s="90"/>
      <c r="R184" s="90"/>
      <c r="S184" s="90"/>
      <c r="T184" s="90"/>
      <c r="U184" s="90"/>
      <c r="V184" s="90"/>
      <c r="W184" s="90"/>
      <c r="X184" s="90"/>
      <c r="Y184" s="90"/>
      <c r="Z184" s="90"/>
      <c r="AA184" s="90"/>
      <c r="AB184" s="90"/>
      <c r="AC184" s="31"/>
      <c r="AD184" s="31"/>
    </row>
    <row r="185" spans="3:30" x14ac:dyDescent="0.25">
      <c r="C185" s="32"/>
      <c r="D185" s="32"/>
      <c r="E185"/>
      <c r="I185" t="s">
        <v>153</v>
      </c>
      <c r="J185" s="89"/>
      <c r="K185" s="89"/>
      <c r="L185" s="89"/>
      <c r="M185" s="89"/>
      <c r="N185" s="89"/>
      <c r="O185" s="89"/>
      <c r="P185" s="89"/>
      <c r="Q185" s="89"/>
      <c r="R185" s="89"/>
      <c r="S185" s="89"/>
      <c r="T185" s="89"/>
      <c r="U185" s="89"/>
      <c r="V185" s="89"/>
      <c r="W185" s="89"/>
      <c r="X185" s="89"/>
      <c r="Y185" s="89"/>
      <c r="Z185" s="89"/>
      <c r="AA185" s="89"/>
      <c r="AB185" s="89"/>
      <c r="AD185" t="s">
        <v>655</v>
      </c>
    </row>
    <row r="186" spans="3:30" x14ac:dyDescent="0.25">
      <c r="E186" s="32" t="s">
        <v>620</v>
      </c>
      <c r="J186" s="89"/>
      <c r="K186" s="89"/>
      <c r="L186" s="89"/>
      <c r="M186" s="89"/>
      <c r="N186" s="89"/>
      <c r="O186" s="89"/>
      <c r="P186" s="89"/>
      <c r="Q186" s="89"/>
      <c r="R186" s="89"/>
      <c r="S186" s="89"/>
      <c r="T186" s="89"/>
      <c r="U186" s="89"/>
      <c r="V186" s="89"/>
      <c r="W186" s="89"/>
      <c r="X186" s="89"/>
      <c r="Y186" s="89"/>
      <c r="Z186" s="89"/>
      <c r="AA186" s="89"/>
      <c r="AB186" s="89"/>
    </row>
    <row r="187" spans="3:30" x14ac:dyDescent="0.25">
      <c r="F187" s="23" t="s">
        <v>188</v>
      </c>
      <c r="G187" s="23" t="s">
        <v>268</v>
      </c>
      <c r="H187" s="269"/>
      <c r="I187" s="269"/>
      <c r="J187" s="288">
        <f t="shared" ref="J187:K187" si="321">J82 * (1 - J$112)</f>
        <v>0</v>
      </c>
      <c r="K187" s="288">
        <f t="shared" si="321"/>
        <v>0</v>
      </c>
      <c r="L187" s="288">
        <f t="shared" ref="L187:M187" si="322">L82 * (1 - L$112)</f>
        <v>0</v>
      </c>
      <c r="M187" s="288">
        <f t="shared" si="322"/>
        <v>0</v>
      </c>
      <c r="N187" s="288">
        <f t="shared" ref="N187:P187" si="323">N82 * (1 - N$112)</f>
        <v>0</v>
      </c>
      <c r="O187" s="288">
        <f t="shared" si="323"/>
        <v>0</v>
      </c>
      <c r="P187" s="288">
        <f t="shared" si="323"/>
        <v>0</v>
      </c>
      <c r="Q187" s="288">
        <f t="shared" ref="Q187:S187" si="324">Q82 * (1 - Q$112)</f>
        <v>0</v>
      </c>
      <c r="R187" s="288">
        <f t="shared" si="324"/>
        <v>0</v>
      </c>
      <c r="S187" s="288">
        <f t="shared" si="324"/>
        <v>0</v>
      </c>
      <c r="T187" s="288">
        <f t="shared" ref="T187:V187" si="325">T82 * (1 - T$112)</f>
        <v>0</v>
      </c>
      <c r="U187" s="288">
        <f t="shared" si="325"/>
        <v>0</v>
      </c>
      <c r="V187" s="288">
        <f t="shared" si="325"/>
        <v>0</v>
      </c>
      <c r="W187" s="288">
        <f t="shared" ref="W187:X187" si="326">W82 * (1 - W$112)</f>
        <v>0</v>
      </c>
      <c r="X187" s="288">
        <f t="shared" si="326"/>
        <v>0</v>
      </c>
      <c r="Y187" s="288">
        <f t="shared" ref="Y187:Z187" si="327">Y82 * (1 - Y$112)</f>
        <v>0</v>
      </c>
      <c r="Z187" s="288">
        <f t="shared" si="327"/>
        <v>0</v>
      </c>
      <c r="AA187" s="288">
        <f t="shared" ref="AA187:AB187" si="328">AA82 * (1 - AA$112)</f>
        <v>0</v>
      </c>
      <c r="AB187" s="288">
        <f t="shared" si="328"/>
        <v>0</v>
      </c>
      <c r="AC187" s="271"/>
      <c r="AD187" s="271"/>
    </row>
    <row r="188" spans="3:30" x14ac:dyDescent="0.25">
      <c r="F188" t="s">
        <v>190</v>
      </c>
      <c r="G188" t="s">
        <v>268</v>
      </c>
      <c r="H188" s="271"/>
      <c r="I188" s="271"/>
      <c r="J188" s="289">
        <f t="shared" ref="J188:K188" si="329">J83 * (1 - J$112)</f>
        <v>0</v>
      </c>
      <c r="K188" s="289">
        <f t="shared" si="329"/>
        <v>0</v>
      </c>
      <c r="L188" s="289">
        <f t="shared" ref="L188:M188" si="330">L83 * (1 - L$112)</f>
        <v>0</v>
      </c>
      <c r="M188" s="289">
        <f t="shared" si="330"/>
        <v>0</v>
      </c>
      <c r="N188" s="289">
        <f t="shared" ref="N188:P188" si="331">N83 * (1 - N$112)</f>
        <v>0</v>
      </c>
      <c r="O188" s="289">
        <f t="shared" si="331"/>
        <v>0</v>
      </c>
      <c r="P188" s="289">
        <f t="shared" si="331"/>
        <v>0</v>
      </c>
      <c r="Q188" s="289">
        <f t="shared" ref="Q188:S188" si="332">Q83 * (1 - Q$112)</f>
        <v>0</v>
      </c>
      <c r="R188" s="289">
        <f t="shared" si="332"/>
        <v>0</v>
      </c>
      <c r="S188" s="289">
        <f t="shared" si="332"/>
        <v>0</v>
      </c>
      <c r="T188" s="289">
        <f t="shared" ref="T188:V188" si="333">T83 * (1 - T$112)</f>
        <v>0</v>
      </c>
      <c r="U188" s="289">
        <f t="shared" si="333"/>
        <v>0</v>
      </c>
      <c r="V188" s="289">
        <f t="shared" si="333"/>
        <v>0</v>
      </c>
      <c r="W188" s="289">
        <f t="shared" ref="W188:X188" si="334">W83 * (1 - W$112)</f>
        <v>0</v>
      </c>
      <c r="X188" s="289">
        <f t="shared" si="334"/>
        <v>0</v>
      </c>
      <c r="Y188" s="289">
        <f t="shared" ref="Y188:Z188" si="335">Y83 * (1 - Y$112)</f>
        <v>0</v>
      </c>
      <c r="Z188" s="289">
        <f t="shared" si="335"/>
        <v>0</v>
      </c>
      <c r="AA188" s="289">
        <f t="shared" ref="AA188:AB188" si="336">AA83 * (1 - AA$112)</f>
        <v>0</v>
      </c>
      <c r="AB188" s="289">
        <f t="shared" si="336"/>
        <v>0</v>
      </c>
      <c r="AC188" s="271"/>
      <c r="AD188" s="271"/>
    </row>
    <row r="189" spans="3:30" x14ac:dyDescent="0.25">
      <c r="F189" t="s">
        <v>191</v>
      </c>
      <c r="G189" t="s">
        <v>268</v>
      </c>
      <c r="H189" s="271"/>
      <c r="I189" s="271"/>
      <c r="J189" s="289">
        <f t="shared" ref="J189:K189" si="337">J84 * (1 - J$113)</f>
        <v>0</v>
      </c>
      <c r="K189" s="289">
        <f t="shared" si="337"/>
        <v>0</v>
      </c>
      <c r="L189" s="289">
        <f t="shared" ref="L189:M189" si="338">L84 * (1 - L$113)</f>
        <v>0</v>
      </c>
      <c r="M189" s="289">
        <f t="shared" si="338"/>
        <v>0</v>
      </c>
      <c r="N189" s="289">
        <f t="shared" ref="N189:P189" si="339">N84 * (1 - N$113)</f>
        <v>0</v>
      </c>
      <c r="O189" s="289">
        <f t="shared" si="339"/>
        <v>0</v>
      </c>
      <c r="P189" s="289">
        <f t="shared" si="339"/>
        <v>0</v>
      </c>
      <c r="Q189" s="289">
        <f t="shared" ref="Q189:S189" si="340">Q84 * (1 - Q$113)</f>
        <v>0</v>
      </c>
      <c r="R189" s="289">
        <f t="shared" si="340"/>
        <v>0</v>
      </c>
      <c r="S189" s="289">
        <f t="shared" si="340"/>
        <v>0</v>
      </c>
      <c r="T189" s="289">
        <f t="shared" ref="T189:V189" si="341">T84 * (1 - T$113)</f>
        <v>0</v>
      </c>
      <c r="U189" s="289">
        <f t="shared" si="341"/>
        <v>0</v>
      </c>
      <c r="V189" s="289">
        <f t="shared" si="341"/>
        <v>0</v>
      </c>
      <c r="W189" s="289">
        <f t="shared" ref="W189:X189" si="342">W84 * (1 - W$113)</f>
        <v>0</v>
      </c>
      <c r="X189" s="289">
        <f t="shared" si="342"/>
        <v>0</v>
      </c>
      <c r="Y189" s="289">
        <f t="shared" ref="Y189:Z189" si="343">Y84 * (1 - Y$113)</f>
        <v>0</v>
      </c>
      <c r="Z189" s="289">
        <f t="shared" si="343"/>
        <v>0</v>
      </c>
      <c r="AA189" s="289">
        <f t="shared" ref="AA189:AB189" si="344">AA84 * (1 - AA$113)</f>
        <v>0</v>
      </c>
      <c r="AB189" s="289">
        <f t="shared" si="344"/>
        <v>0</v>
      </c>
      <c r="AC189" s="271"/>
      <c r="AD189" s="271"/>
    </row>
    <row r="190" spans="3:30" x14ac:dyDescent="0.25">
      <c r="F190" t="s">
        <v>192</v>
      </c>
      <c r="G190" t="s">
        <v>268</v>
      </c>
      <c r="H190" s="271"/>
      <c r="I190" s="271"/>
      <c r="J190" s="289">
        <f t="shared" ref="J190:K190" si="345">J85 * (1 - J$114)</f>
        <v>0</v>
      </c>
      <c r="K190" s="289">
        <f t="shared" si="345"/>
        <v>0</v>
      </c>
      <c r="L190" s="289">
        <f t="shared" ref="L190:M190" si="346">L85 * (1 - L$114)</f>
        <v>0</v>
      </c>
      <c r="M190" s="289">
        <f t="shared" si="346"/>
        <v>0</v>
      </c>
      <c r="N190" s="289">
        <f t="shared" ref="N190:P190" si="347">N85 * (1 - N$114)</f>
        <v>0</v>
      </c>
      <c r="O190" s="289">
        <f t="shared" si="347"/>
        <v>0</v>
      </c>
      <c r="P190" s="289">
        <f t="shared" si="347"/>
        <v>0</v>
      </c>
      <c r="Q190" s="289">
        <f t="shared" ref="Q190:S190" si="348">Q85 * (1 - Q$114)</f>
        <v>0</v>
      </c>
      <c r="R190" s="289">
        <f t="shared" si="348"/>
        <v>0</v>
      </c>
      <c r="S190" s="289">
        <f t="shared" si="348"/>
        <v>0</v>
      </c>
      <c r="T190" s="289">
        <f t="shared" ref="T190:V190" si="349">T85 * (1 - T$114)</f>
        <v>0</v>
      </c>
      <c r="U190" s="289">
        <f t="shared" si="349"/>
        <v>0</v>
      </c>
      <c r="V190" s="289">
        <f t="shared" si="349"/>
        <v>0</v>
      </c>
      <c r="W190" s="289">
        <f t="shared" ref="W190:X190" si="350">W85 * (1 - W$114)</f>
        <v>0</v>
      </c>
      <c r="X190" s="289">
        <f t="shared" si="350"/>
        <v>0</v>
      </c>
      <c r="Y190" s="289">
        <f t="shared" ref="Y190:Z190" si="351">Y85 * (1 - Y$114)</f>
        <v>0</v>
      </c>
      <c r="Z190" s="289">
        <f t="shared" si="351"/>
        <v>0</v>
      </c>
      <c r="AA190" s="289">
        <f t="shared" ref="AA190:AB190" si="352">AA85 * (1 - AA$114)</f>
        <v>0</v>
      </c>
      <c r="AB190" s="289">
        <f t="shared" si="352"/>
        <v>0</v>
      </c>
      <c r="AC190" s="271"/>
      <c r="AD190" s="271"/>
    </row>
    <row r="191" spans="3:30" x14ac:dyDescent="0.25">
      <c r="F191" t="s">
        <v>193</v>
      </c>
      <c r="G191" t="s">
        <v>268</v>
      </c>
      <c r="H191" s="271"/>
      <c r="I191" s="271"/>
      <c r="J191" s="289">
        <f t="shared" ref="J191:K191" si="353">J86 * (1 - J$115)</f>
        <v>2.3063648481960884E-3</v>
      </c>
      <c r="K191" s="289">
        <f t="shared" si="353"/>
        <v>2.3063648481960884E-3</v>
      </c>
      <c r="L191" s="289">
        <f t="shared" ref="L191:M191" si="354">L86 * (1 - L$115)</f>
        <v>2.6788544437756252E-3</v>
      </c>
      <c r="M191" s="289">
        <f t="shared" si="354"/>
        <v>2.6788544437756252E-3</v>
      </c>
      <c r="N191" s="289">
        <f t="shared" ref="N191:P191" si="355">N86 * (1 - N$115)</f>
        <v>2.0708276223939054E-3</v>
      </c>
      <c r="O191" s="289">
        <f t="shared" si="355"/>
        <v>1.684283693131584E-3</v>
      </c>
      <c r="P191" s="289">
        <f t="shared" si="355"/>
        <v>1.3022714713831602E-3</v>
      </c>
      <c r="Q191" s="289">
        <f t="shared" ref="Q191:S191" si="356">Q86 * (1 - Q$115)</f>
        <v>2.0708276223939054E-3</v>
      </c>
      <c r="R191" s="289">
        <f t="shared" si="356"/>
        <v>1.684283693131584E-3</v>
      </c>
      <c r="S191" s="289">
        <f t="shared" si="356"/>
        <v>1.3022714713831602E-3</v>
      </c>
      <c r="T191" s="289">
        <f t="shared" ref="T191:V191" si="357">T86 * (1 - T$115)</f>
        <v>1.8127412956928774E-3</v>
      </c>
      <c r="U191" s="289">
        <f t="shared" si="357"/>
        <v>-1.6492925609407124E-3</v>
      </c>
      <c r="V191" s="289">
        <f t="shared" si="357"/>
        <v>-1.5681798120419888E-3</v>
      </c>
      <c r="W191" s="289">
        <f t="shared" ref="W191:X191" si="358">W86 * (1 - W$115)</f>
        <v>-1.6492925609407124E-3</v>
      </c>
      <c r="X191" s="289">
        <f t="shared" si="358"/>
        <v>-1.6492925609407124E-3</v>
      </c>
      <c r="Y191" s="289">
        <f t="shared" ref="Y191:Z191" si="359">Y86 * (1 - Y$115)</f>
        <v>-1.5681798120419888E-3</v>
      </c>
      <c r="Z191" s="289">
        <f t="shared" si="359"/>
        <v>-1.5681798120419888E-3</v>
      </c>
      <c r="AA191" s="289">
        <f t="shared" ref="AA191:AB191" si="360">AA86 * (1 - AA$115)</f>
        <v>-1.4932119683628653E-3</v>
      </c>
      <c r="AB191" s="289">
        <f t="shared" si="360"/>
        <v>-1.4932119683628653E-3</v>
      </c>
      <c r="AC191" s="271"/>
      <c r="AD191" s="271"/>
    </row>
    <row r="192" spans="3:30" x14ac:dyDescent="0.25">
      <c r="F192" t="s">
        <v>194</v>
      </c>
      <c r="G192" t="s">
        <v>268</v>
      </c>
      <c r="H192" s="271"/>
      <c r="I192" s="271"/>
      <c r="J192" s="289">
        <f t="shared" ref="J192:K192" si="361">J87 * (1 - J$116)</f>
        <v>1.6495075700587941E-3</v>
      </c>
      <c r="K192" s="289">
        <f t="shared" si="361"/>
        <v>1.6495075700587941E-3</v>
      </c>
      <c r="L192" s="289">
        <f t="shared" ref="L192:M192" si="362">L87 * (1 - L$116)</f>
        <v>1.9159113908407291E-3</v>
      </c>
      <c r="M192" s="289">
        <f t="shared" si="362"/>
        <v>1.9159113908407291E-3</v>
      </c>
      <c r="N192" s="289">
        <f t="shared" ref="N192:P192" si="363">N87 * (1 - N$116)</f>
        <v>1.4810518128115279E-3</v>
      </c>
      <c r="O192" s="289">
        <f t="shared" si="363"/>
        <v>1.2045963604241177E-3</v>
      </c>
      <c r="P192" s="289">
        <f t="shared" si="363"/>
        <v>0</v>
      </c>
      <c r="Q192" s="289">
        <f t="shared" ref="Q192:S192" si="364">Q87 * (1 - Q$116)</f>
        <v>1.4810518128115279E-3</v>
      </c>
      <c r="R192" s="289">
        <f t="shared" si="364"/>
        <v>1.2045963604241177E-3</v>
      </c>
      <c r="S192" s="289">
        <f t="shared" si="364"/>
        <v>0</v>
      </c>
      <c r="T192" s="289">
        <f t="shared" ref="T192:V192" si="365">T87 * (1 - T$116)</f>
        <v>1.2964689832756962E-3</v>
      </c>
      <c r="U192" s="289">
        <f t="shared" si="365"/>
        <v>-1.1795707720056528E-3</v>
      </c>
      <c r="V192" s="289">
        <f t="shared" si="365"/>
        <v>-1.1215590946938995E-3</v>
      </c>
      <c r="W192" s="289">
        <f t="shared" ref="W192:X192" si="366">W87 * (1 - W$116)</f>
        <v>-1.1795707720056528E-3</v>
      </c>
      <c r="X192" s="289">
        <f t="shared" si="366"/>
        <v>-1.1795707720056528E-3</v>
      </c>
      <c r="Y192" s="289">
        <f t="shared" ref="Y192:Z192" si="367">Y87 * (1 - Y$116)</f>
        <v>-1.1215590946938995E-3</v>
      </c>
      <c r="Z192" s="289">
        <f t="shared" si="367"/>
        <v>-1.1215590946938995E-3</v>
      </c>
      <c r="AA192" s="289">
        <f t="shared" ref="AA192:AB192" si="368">AA87 * (1 - AA$116)</f>
        <v>-9.4557123805885939E-4</v>
      </c>
      <c r="AB192" s="289">
        <f t="shared" si="368"/>
        <v>-9.4557123805885939E-4</v>
      </c>
      <c r="AC192" s="271"/>
      <c r="AD192" s="271"/>
    </row>
    <row r="193" spans="4:30" x14ac:dyDescent="0.25">
      <c r="F193" t="s">
        <v>195</v>
      </c>
      <c r="G193" t="s">
        <v>268</v>
      </c>
      <c r="H193" s="271"/>
      <c r="I193" s="271"/>
      <c r="J193" s="289">
        <f t="shared" ref="J193:K193" si="369">J88 * (1 - J$117)</f>
        <v>0</v>
      </c>
      <c r="K193" s="289">
        <f t="shared" si="369"/>
        <v>0</v>
      </c>
      <c r="L193" s="289">
        <f t="shared" ref="L193:M193" si="370">L88 * (1 - L$117)</f>
        <v>0</v>
      </c>
      <c r="M193" s="289">
        <f t="shared" si="370"/>
        <v>0</v>
      </c>
      <c r="N193" s="289">
        <f t="shared" ref="N193:P193" si="371">N88 * (1 - N$117)</f>
        <v>0</v>
      </c>
      <c r="O193" s="289">
        <f t="shared" si="371"/>
        <v>0</v>
      </c>
      <c r="P193" s="289">
        <f t="shared" si="371"/>
        <v>0</v>
      </c>
      <c r="Q193" s="289">
        <f t="shared" ref="Q193:S193" si="372">Q88 * (1 - Q$117)</f>
        <v>0</v>
      </c>
      <c r="R193" s="289">
        <f t="shared" si="372"/>
        <v>0</v>
      </c>
      <c r="S193" s="289">
        <f t="shared" si="372"/>
        <v>0</v>
      </c>
      <c r="T193" s="289">
        <f t="shared" ref="T193:V193" si="373">T88 * (1 - T$117)</f>
        <v>0</v>
      </c>
      <c r="U193" s="289">
        <f t="shared" si="373"/>
        <v>0</v>
      </c>
      <c r="V193" s="289">
        <f t="shared" si="373"/>
        <v>0</v>
      </c>
      <c r="W193" s="289">
        <f t="shared" ref="W193:X193" si="374">W88 * (1 - W$117)</f>
        <v>0</v>
      </c>
      <c r="X193" s="289">
        <f t="shared" si="374"/>
        <v>0</v>
      </c>
      <c r="Y193" s="289">
        <f t="shared" ref="Y193:Z193" si="375">Y88 * (1 - Y$117)</f>
        <v>0</v>
      </c>
      <c r="Z193" s="289">
        <f t="shared" si="375"/>
        <v>0</v>
      </c>
      <c r="AA193" s="289">
        <f t="shared" ref="AA193:AB193" si="376">AA88 * (1 - AA$117)</f>
        <v>0</v>
      </c>
      <c r="AB193" s="289">
        <f t="shared" si="376"/>
        <v>0</v>
      </c>
      <c r="AC193" s="271"/>
      <c r="AD193" s="271"/>
    </row>
    <row r="194" spans="4:30" x14ac:dyDescent="0.25">
      <c r="F194" t="s">
        <v>196</v>
      </c>
      <c r="G194" t="s">
        <v>268</v>
      </c>
      <c r="H194" s="271"/>
      <c r="I194" s="271"/>
      <c r="J194" s="289">
        <f t="shared" ref="J194:K194" si="377">J89 * (1 - J$118)</f>
        <v>5.6723556339629807E-3</v>
      </c>
      <c r="K194" s="289">
        <f t="shared" si="377"/>
        <v>5.6723556339629807E-3</v>
      </c>
      <c r="L194" s="289">
        <f t="shared" ref="L194:M194" si="378">L89 * (1 - L$118)</f>
        <v>6.5884697768449135E-3</v>
      </c>
      <c r="M194" s="289">
        <f t="shared" si="378"/>
        <v>6.5884697768449135E-3</v>
      </c>
      <c r="N194" s="289">
        <f t="shared" ref="N194:P194" si="379">N89 * (1 - N$118)</f>
        <v>4.074453611288666E-3</v>
      </c>
      <c r="O194" s="289">
        <f t="shared" si="379"/>
        <v>0</v>
      </c>
      <c r="P194" s="289">
        <f t="shared" si="379"/>
        <v>0</v>
      </c>
      <c r="Q194" s="289">
        <f t="shared" ref="Q194:S194" si="380">Q89 * (1 - Q$118)</f>
        <v>4.074453611288666E-3</v>
      </c>
      <c r="R194" s="289">
        <f t="shared" si="380"/>
        <v>0</v>
      </c>
      <c r="S194" s="289">
        <f t="shared" si="380"/>
        <v>0</v>
      </c>
      <c r="T194" s="289">
        <f t="shared" ref="T194:V194" si="381">T89 * (1 - T$118)</f>
        <v>4.4583203345226413E-3</v>
      </c>
      <c r="U194" s="289">
        <f t="shared" si="381"/>
        <v>-4.0563287102743269E-3</v>
      </c>
      <c r="V194" s="289">
        <f t="shared" si="381"/>
        <v>-3.8568371343591953E-3</v>
      </c>
      <c r="W194" s="289">
        <f t="shared" ref="W194:X194" si="382">W89 * (1 - W$118)</f>
        <v>-4.0563287102743269E-3</v>
      </c>
      <c r="X194" s="289">
        <f t="shared" si="382"/>
        <v>-4.0563287102743269E-3</v>
      </c>
      <c r="Y194" s="289">
        <f t="shared" ref="Y194:Z194" si="383">Y89 * (1 - Y$118)</f>
        <v>-3.8568371343591953E-3</v>
      </c>
      <c r="Z194" s="289">
        <f t="shared" si="383"/>
        <v>-3.8568371343591953E-3</v>
      </c>
      <c r="AA194" s="289">
        <f t="shared" ref="AA194:AB194" si="384">AA89 * (1 - AA$118)</f>
        <v>0</v>
      </c>
      <c r="AB194" s="289">
        <f t="shared" si="384"/>
        <v>0</v>
      </c>
      <c r="AC194" s="271"/>
      <c r="AD194" s="271"/>
    </row>
    <row r="195" spans="4:30" x14ac:dyDescent="0.25">
      <c r="F195" t="s">
        <v>197</v>
      </c>
      <c r="G195" t="s">
        <v>268</v>
      </c>
      <c r="H195" s="271"/>
      <c r="I195" s="271"/>
      <c r="J195" s="289">
        <f t="shared" ref="J195:K195" si="385">J90 * (1 - J$119)</f>
        <v>1.3025042971959073E-3</v>
      </c>
      <c r="K195" s="289">
        <f t="shared" si="385"/>
        <v>1.3025042971959073E-3</v>
      </c>
      <c r="L195" s="289">
        <f t="shared" ref="L195:M195" si="386">L90 * (1 - L$119)</f>
        <v>1.5128653332143784E-3</v>
      </c>
      <c r="M195" s="289">
        <f t="shared" si="386"/>
        <v>1.5128653332143784E-3</v>
      </c>
      <c r="N195" s="289">
        <f t="shared" ref="N195:P195" si="387">N90 * (1 - N$119)</f>
        <v>0</v>
      </c>
      <c r="O195" s="289">
        <f t="shared" si="387"/>
        <v>0</v>
      </c>
      <c r="P195" s="289">
        <f t="shared" si="387"/>
        <v>0</v>
      </c>
      <c r="Q195" s="289">
        <f t="shared" ref="Q195:S195" si="388">Q90 * (1 - Q$119)</f>
        <v>0</v>
      </c>
      <c r="R195" s="289">
        <f t="shared" si="388"/>
        <v>0</v>
      </c>
      <c r="S195" s="289">
        <f t="shared" si="388"/>
        <v>0</v>
      </c>
      <c r="T195" s="289">
        <f t="shared" ref="T195:V195" si="389">T90 * (1 - T$119)</f>
        <v>1.0237336600023082E-3</v>
      </c>
      <c r="U195" s="289">
        <f t="shared" si="389"/>
        <v>-9.3142706785473818E-4</v>
      </c>
      <c r="V195" s="289">
        <f t="shared" si="389"/>
        <v>0</v>
      </c>
      <c r="W195" s="289">
        <f t="shared" ref="W195:X195" si="390">W90 * (1 - W$119)</f>
        <v>-9.3142706785473818E-4</v>
      </c>
      <c r="X195" s="289">
        <f t="shared" si="390"/>
        <v>-9.3142706785473818E-4</v>
      </c>
      <c r="Y195" s="289">
        <f t="shared" ref="Y195:Z195" si="391">Y90 * (1 - Y$119)</f>
        <v>0</v>
      </c>
      <c r="Z195" s="289">
        <f t="shared" si="391"/>
        <v>0</v>
      </c>
      <c r="AA195" s="289">
        <f t="shared" ref="AA195:AB195" si="392">AA90 * (1 - AA$119)</f>
        <v>0</v>
      </c>
      <c r="AB195" s="289">
        <f t="shared" si="392"/>
        <v>0</v>
      </c>
      <c r="AC195" s="271"/>
      <c r="AD195" s="271"/>
    </row>
    <row r="196" spans="4:30" x14ac:dyDescent="0.25">
      <c r="F196" t="s">
        <v>198</v>
      </c>
      <c r="G196" t="s">
        <v>268</v>
      </c>
      <c r="H196" s="271"/>
      <c r="I196" s="271"/>
      <c r="J196" s="289">
        <f t="shared" ref="J196:K196" si="393">J91 * (1 - J$120)</f>
        <v>0</v>
      </c>
      <c r="K196" s="289">
        <f t="shared" si="393"/>
        <v>0</v>
      </c>
      <c r="L196" s="289">
        <f t="shared" ref="L196:M196" si="394">L91 * (1 - L$120)</f>
        <v>0</v>
      </c>
      <c r="M196" s="289">
        <f t="shared" si="394"/>
        <v>0</v>
      </c>
      <c r="N196" s="289">
        <f t="shared" ref="N196:P196" si="395">N91 * (1 - N$120)</f>
        <v>0</v>
      </c>
      <c r="O196" s="289">
        <f t="shared" si="395"/>
        <v>0</v>
      </c>
      <c r="P196" s="289">
        <f t="shared" si="395"/>
        <v>0</v>
      </c>
      <c r="Q196" s="289">
        <f t="shared" ref="Q196:S196" si="396">Q91 * (1 - Q$120)</f>
        <v>0</v>
      </c>
      <c r="R196" s="289">
        <f t="shared" si="396"/>
        <v>0</v>
      </c>
      <c r="S196" s="289">
        <f t="shared" si="396"/>
        <v>0</v>
      </c>
      <c r="T196" s="289">
        <f t="shared" ref="T196:V196" si="397">T91 * (1 - T$120)</f>
        <v>1.7985996128966103E-4</v>
      </c>
      <c r="U196" s="289">
        <f t="shared" si="397"/>
        <v>0</v>
      </c>
      <c r="V196" s="289">
        <f t="shared" si="397"/>
        <v>0</v>
      </c>
      <c r="W196" s="289">
        <f t="shared" ref="W196:X196" si="398">W91 * (1 - W$120)</f>
        <v>0</v>
      </c>
      <c r="X196" s="289">
        <f t="shared" si="398"/>
        <v>0</v>
      </c>
      <c r="Y196" s="289">
        <f t="shared" ref="Y196:Z196" si="399">Y91 * (1 - Y$120)</f>
        <v>0</v>
      </c>
      <c r="Z196" s="289">
        <f t="shared" si="399"/>
        <v>0</v>
      </c>
      <c r="AA196" s="289">
        <f t="shared" ref="AA196:AB196" si="400">AA91 * (1 - AA$120)</f>
        <v>0</v>
      </c>
      <c r="AB196" s="289">
        <f t="shared" si="400"/>
        <v>0</v>
      </c>
      <c r="AC196" s="271"/>
      <c r="AD196" s="271"/>
    </row>
    <row r="197" spans="4:30" x14ac:dyDescent="0.25">
      <c r="D197"/>
      <c r="F197" s="23" t="s">
        <v>375</v>
      </c>
      <c r="G197" s="23" t="s">
        <v>268</v>
      </c>
      <c r="H197" s="269"/>
      <c r="I197" s="269"/>
      <c r="J197" s="287"/>
      <c r="K197" s="287"/>
      <c r="L197" s="287"/>
      <c r="M197" s="287"/>
      <c r="N197" s="287"/>
      <c r="O197" s="287"/>
      <c r="P197" s="287"/>
      <c r="Q197" s="287"/>
      <c r="R197" s="287"/>
      <c r="S197" s="287"/>
      <c r="T197" s="287"/>
      <c r="U197" s="287"/>
      <c r="V197" s="287"/>
      <c r="W197" s="287"/>
      <c r="X197" s="287"/>
      <c r="Y197" s="287"/>
      <c r="Z197" s="287"/>
      <c r="AA197" s="287"/>
      <c r="AB197" s="287"/>
      <c r="AC197" s="271"/>
      <c r="AD197" s="271"/>
    </row>
    <row r="198" spans="4:30" x14ac:dyDescent="0.25">
      <c r="D198"/>
      <c r="F198" s="37" t="s">
        <v>376</v>
      </c>
      <c r="G198" s="37" t="s">
        <v>268</v>
      </c>
      <c r="H198" s="275"/>
      <c r="I198" s="275"/>
      <c r="J198" s="276"/>
      <c r="K198" s="276"/>
      <c r="L198" s="276"/>
      <c r="M198" s="276"/>
      <c r="N198" s="276"/>
      <c r="O198" s="276"/>
      <c r="P198" s="276"/>
      <c r="Q198" s="276"/>
      <c r="R198" s="276"/>
      <c r="S198" s="276"/>
      <c r="T198" s="276"/>
      <c r="U198" s="276"/>
      <c r="V198" s="276"/>
      <c r="W198" s="276"/>
      <c r="X198" s="276"/>
      <c r="Y198" s="276"/>
      <c r="Z198" s="276"/>
      <c r="AA198" s="276"/>
      <c r="AB198" s="276"/>
      <c r="AC198" s="271"/>
      <c r="AD198" s="271"/>
    </row>
    <row r="199" spans="4:30" x14ac:dyDescent="0.25">
      <c r="D199"/>
      <c r="J199" s="89"/>
      <c r="K199" s="89"/>
      <c r="L199" s="89"/>
      <c r="M199" s="89"/>
      <c r="N199" s="89"/>
      <c r="O199" s="89"/>
      <c r="P199" s="89"/>
      <c r="Q199" s="89"/>
      <c r="R199" s="89"/>
      <c r="S199" s="89"/>
      <c r="T199" s="89"/>
      <c r="U199" s="89"/>
      <c r="V199" s="89"/>
      <c r="W199" s="89"/>
      <c r="X199" s="89"/>
      <c r="Y199" s="89"/>
      <c r="Z199" s="89"/>
      <c r="AA199" s="89"/>
      <c r="AB199" s="89"/>
    </row>
    <row r="200" spans="4:30" x14ac:dyDescent="0.25">
      <c r="E200" s="32" t="s">
        <v>621</v>
      </c>
      <c r="J200" s="89"/>
      <c r="K200" s="89"/>
      <c r="L200" s="89"/>
      <c r="M200" s="89"/>
      <c r="N200" s="89"/>
      <c r="O200" s="89"/>
      <c r="P200" s="89"/>
      <c r="Q200" s="89"/>
      <c r="R200" s="89"/>
      <c r="S200" s="89"/>
      <c r="T200" s="89"/>
      <c r="U200" s="89"/>
      <c r="V200" s="89"/>
      <c r="W200" s="89"/>
      <c r="X200" s="89"/>
      <c r="Y200" s="89"/>
      <c r="Z200" s="89"/>
      <c r="AA200" s="89"/>
      <c r="AB200" s="89"/>
    </row>
    <row r="201" spans="4:30" x14ac:dyDescent="0.25">
      <c r="F201" s="23" t="s">
        <v>188</v>
      </c>
      <c r="G201" s="23" t="s">
        <v>268</v>
      </c>
      <c r="H201" s="269"/>
      <c r="I201" s="269"/>
      <c r="J201" s="288">
        <f t="shared" ref="J201:K201" si="401">J96 * (1 - J$112)</f>
        <v>2.4082353729925929E-3</v>
      </c>
      <c r="K201" s="288">
        <f t="shared" si="401"/>
        <v>2.4082353729925929E-3</v>
      </c>
      <c r="L201" s="288">
        <f t="shared" ref="L201:M201" si="402">L96 * (1 - L$112)</f>
        <v>2.7971775738971738E-3</v>
      </c>
      <c r="M201" s="288">
        <f t="shared" si="402"/>
        <v>2.7971775738971738E-3</v>
      </c>
      <c r="N201" s="288">
        <f t="shared" ref="N201:P201" si="403">N96 * (1 - N$112)</f>
        <v>2.162294632403776E-3</v>
      </c>
      <c r="O201" s="288">
        <f t="shared" si="403"/>
        <v>1.7586773277118667E-3</v>
      </c>
      <c r="P201" s="288">
        <f t="shared" si="403"/>
        <v>1.7542994173707232E-3</v>
      </c>
      <c r="Q201" s="288">
        <f t="shared" ref="Q201:S201" si="404">Q96 * (1 - Q$112)</f>
        <v>2.162294632403776E-3</v>
      </c>
      <c r="R201" s="288">
        <f t="shared" si="404"/>
        <v>1.7586773277118667E-3</v>
      </c>
      <c r="S201" s="288">
        <f t="shared" si="404"/>
        <v>1.7542994173707232E-3</v>
      </c>
      <c r="T201" s="288">
        <f t="shared" ref="T201:V201" si="405">T96 * (1 - T$112)</f>
        <v>1.8928088128755832E-3</v>
      </c>
      <c r="U201" s="288">
        <f t="shared" si="405"/>
        <v>-1.7221406616466405E-3</v>
      </c>
      <c r="V201" s="288">
        <f t="shared" si="405"/>
        <v>-1.637445219270576E-3</v>
      </c>
      <c r="W201" s="288">
        <f t="shared" ref="W201:X201" si="406">W96 * (1 - W$112)</f>
        <v>-1.7221406616466405E-3</v>
      </c>
      <c r="X201" s="288">
        <f t="shared" si="406"/>
        <v>-1.7221406616466405E-3</v>
      </c>
      <c r="Y201" s="288">
        <f t="shared" ref="Y201:Z201" si="407">Y96 * (1 - Y$112)</f>
        <v>-1.637445219270576E-3</v>
      </c>
      <c r="Z201" s="288">
        <f t="shared" si="407"/>
        <v>-1.637445219270576E-3</v>
      </c>
      <c r="AA201" s="288">
        <f t="shared" ref="AA201:AB201" si="408">AA96 * (1 - AA$112)</f>
        <v>-1.6092134051452214E-3</v>
      </c>
      <c r="AB201" s="288">
        <f t="shared" si="408"/>
        <v>-1.6092134051452214E-3</v>
      </c>
      <c r="AC201" s="271"/>
      <c r="AD201" s="271"/>
    </row>
    <row r="202" spans="4:30" x14ac:dyDescent="0.25">
      <c r="F202" t="s">
        <v>190</v>
      </c>
      <c r="G202" t="s">
        <v>268</v>
      </c>
      <c r="H202" s="271"/>
      <c r="I202" s="271"/>
      <c r="J202" s="289">
        <f t="shared" ref="J202:K202" si="409">J97 * (1 - J$112)</f>
        <v>0</v>
      </c>
      <c r="K202" s="289">
        <f t="shared" si="409"/>
        <v>0</v>
      </c>
      <c r="L202" s="289">
        <f t="shared" ref="L202:M202" si="410">L97 * (1 - L$112)</f>
        <v>0</v>
      </c>
      <c r="M202" s="289">
        <f t="shared" si="410"/>
        <v>0</v>
      </c>
      <c r="N202" s="289">
        <f t="shared" ref="N202:P202" si="411">N97 * (1 - N$112)</f>
        <v>0</v>
      </c>
      <c r="O202" s="289">
        <f t="shared" si="411"/>
        <v>0</v>
      </c>
      <c r="P202" s="289">
        <f t="shared" si="411"/>
        <v>0</v>
      </c>
      <c r="Q202" s="289">
        <f t="shared" ref="Q202:S202" si="412">Q97 * (1 - Q$112)</f>
        <v>0</v>
      </c>
      <c r="R202" s="289">
        <f t="shared" si="412"/>
        <v>0</v>
      </c>
      <c r="S202" s="289">
        <f t="shared" si="412"/>
        <v>0</v>
      </c>
      <c r="T202" s="289">
        <f t="shared" ref="T202:V202" si="413">T97 * (1 - T$112)</f>
        <v>0</v>
      </c>
      <c r="U202" s="289">
        <f t="shared" si="413"/>
        <v>0</v>
      </c>
      <c r="V202" s="289">
        <f t="shared" si="413"/>
        <v>0</v>
      </c>
      <c r="W202" s="289">
        <f t="shared" ref="W202:X202" si="414">W97 * (1 - W$112)</f>
        <v>0</v>
      </c>
      <c r="X202" s="289">
        <f t="shared" si="414"/>
        <v>0</v>
      </c>
      <c r="Y202" s="289">
        <f t="shared" ref="Y202:Z202" si="415">Y97 * (1 - Y$112)</f>
        <v>0</v>
      </c>
      <c r="Z202" s="289">
        <f t="shared" si="415"/>
        <v>0</v>
      </c>
      <c r="AA202" s="289">
        <f t="shared" ref="AA202:AB202" si="416">AA97 * (1 - AA$112)</f>
        <v>0</v>
      </c>
      <c r="AB202" s="289">
        <f t="shared" si="416"/>
        <v>0</v>
      </c>
      <c r="AC202" s="271"/>
      <c r="AD202" s="271"/>
    </row>
    <row r="203" spans="4:30" x14ac:dyDescent="0.25">
      <c r="F203" t="s">
        <v>191</v>
      </c>
      <c r="G203" t="s">
        <v>268</v>
      </c>
      <c r="H203" s="271"/>
      <c r="I203" s="271"/>
      <c r="J203" s="289">
        <f t="shared" ref="J203:K203" si="417">J98 * (1 - J$113)</f>
        <v>0</v>
      </c>
      <c r="K203" s="289">
        <f t="shared" si="417"/>
        <v>0</v>
      </c>
      <c r="L203" s="289">
        <f t="shared" ref="L203:M203" si="418">L98 * (1 - L$113)</f>
        <v>0</v>
      </c>
      <c r="M203" s="289">
        <f t="shared" si="418"/>
        <v>0</v>
      </c>
      <c r="N203" s="289">
        <f t="shared" ref="N203:P203" si="419">N98 * (1 - N$113)</f>
        <v>0</v>
      </c>
      <c r="O203" s="289">
        <f t="shared" si="419"/>
        <v>0</v>
      </c>
      <c r="P203" s="289">
        <f t="shared" si="419"/>
        <v>0</v>
      </c>
      <c r="Q203" s="289">
        <f t="shared" ref="Q203:S203" si="420">Q98 * (1 - Q$113)</f>
        <v>0</v>
      </c>
      <c r="R203" s="289">
        <f t="shared" si="420"/>
        <v>0</v>
      </c>
      <c r="S203" s="289">
        <f t="shared" si="420"/>
        <v>0</v>
      </c>
      <c r="T203" s="289">
        <f t="shared" ref="T203:V203" si="421">T98 * (1 - T$113)</f>
        <v>0</v>
      </c>
      <c r="U203" s="289">
        <f t="shared" si="421"/>
        <v>0</v>
      </c>
      <c r="V203" s="289">
        <f t="shared" si="421"/>
        <v>0</v>
      </c>
      <c r="W203" s="289">
        <f t="shared" ref="W203:X203" si="422">W98 * (1 - W$113)</f>
        <v>0</v>
      </c>
      <c r="X203" s="289">
        <f t="shared" si="422"/>
        <v>0</v>
      </c>
      <c r="Y203" s="289">
        <f t="shared" ref="Y203:Z203" si="423">Y98 * (1 - Y$113)</f>
        <v>0</v>
      </c>
      <c r="Z203" s="289">
        <f t="shared" si="423"/>
        <v>0</v>
      </c>
      <c r="AA203" s="289">
        <f t="shared" ref="AA203:AB203" si="424">AA98 * (1 - AA$113)</f>
        <v>0</v>
      </c>
      <c r="AB203" s="289">
        <f t="shared" si="424"/>
        <v>0</v>
      </c>
      <c r="AC203" s="271"/>
      <c r="AD203" s="271"/>
    </row>
    <row r="204" spans="4:30" x14ac:dyDescent="0.25">
      <c r="F204" t="s">
        <v>192</v>
      </c>
      <c r="G204" t="s">
        <v>268</v>
      </c>
      <c r="H204" s="271"/>
      <c r="I204" s="271"/>
      <c r="J204" s="289">
        <f t="shared" ref="J204:K204" si="425">J99 * (1 - J$114)</f>
        <v>0</v>
      </c>
      <c r="K204" s="289">
        <f t="shared" si="425"/>
        <v>0</v>
      </c>
      <c r="L204" s="289">
        <f t="shared" ref="L204:M204" si="426">L99 * (1 - L$114)</f>
        <v>0</v>
      </c>
      <c r="M204" s="289">
        <f t="shared" si="426"/>
        <v>0</v>
      </c>
      <c r="N204" s="289">
        <f t="shared" ref="N204:P204" si="427">N99 * (1 - N$114)</f>
        <v>0</v>
      </c>
      <c r="O204" s="289">
        <f t="shared" si="427"/>
        <v>0</v>
      </c>
      <c r="P204" s="289">
        <f t="shared" si="427"/>
        <v>0</v>
      </c>
      <c r="Q204" s="289">
        <f t="shared" ref="Q204:S204" si="428">Q99 * (1 - Q$114)</f>
        <v>0</v>
      </c>
      <c r="R204" s="289">
        <f t="shared" si="428"/>
        <v>0</v>
      </c>
      <c r="S204" s="289">
        <f t="shared" si="428"/>
        <v>0</v>
      </c>
      <c r="T204" s="289">
        <f t="shared" ref="T204:V204" si="429">T99 * (1 - T$114)</f>
        <v>0</v>
      </c>
      <c r="U204" s="289">
        <f t="shared" si="429"/>
        <v>0</v>
      </c>
      <c r="V204" s="289">
        <f t="shared" si="429"/>
        <v>0</v>
      </c>
      <c r="W204" s="289">
        <f t="shared" ref="W204:X204" si="430">W99 * (1 - W$114)</f>
        <v>0</v>
      </c>
      <c r="X204" s="289">
        <f t="shared" si="430"/>
        <v>0</v>
      </c>
      <c r="Y204" s="289">
        <f t="shared" ref="Y204:Z204" si="431">Y99 * (1 - Y$114)</f>
        <v>0</v>
      </c>
      <c r="Z204" s="289">
        <f t="shared" si="431"/>
        <v>0</v>
      </c>
      <c r="AA204" s="289">
        <f t="shared" ref="AA204:AB204" si="432">AA99 * (1 - AA$114)</f>
        <v>0</v>
      </c>
      <c r="AB204" s="289">
        <f t="shared" si="432"/>
        <v>0</v>
      </c>
      <c r="AC204" s="271"/>
      <c r="AD204" s="271"/>
    </row>
    <row r="205" spans="4:30" x14ac:dyDescent="0.25">
      <c r="F205" t="s">
        <v>193</v>
      </c>
      <c r="G205" t="s">
        <v>268</v>
      </c>
      <c r="H205" s="271"/>
      <c r="I205" s="271"/>
      <c r="J205" s="289">
        <f t="shared" ref="J205:K205" si="433">J100 * (1 - J$115)</f>
        <v>1.7045036833946514E-3</v>
      </c>
      <c r="K205" s="289">
        <f t="shared" si="433"/>
        <v>1.7045036833946514E-3</v>
      </c>
      <c r="L205" s="289">
        <f t="shared" ref="L205:M205" si="434">L100 * (1 - L$115)</f>
        <v>1.979789654817645E-3</v>
      </c>
      <c r="M205" s="289">
        <f t="shared" si="434"/>
        <v>1.979789654817645E-3</v>
      </c>
      <c r="N205" s="289">
        <f t="shared" ref="N205:P205" si="435">N100 * (1 - N$115)</f>
        <v>1.5304314548526714E-3</v>
      </c>
      <c r="O205" s="289">
        <f t="shared" si="435"/>
        <v>1.2447587210973002E-3</v>
      </c>
      <c r="P205" s="289">
        <f t="shared" si="435"/>
        <v>9.9332809482644739E-4</v>
      </c>
      <c r="Q205" s="289">
        <f t="shared" ref="Q205:S205" si="436">Q100 * (1 - Q$115)</f>
        <v>1.5304314548526714E-3</v>
      </c>
      <c r="R205" s="289">
        <f t="shared" si="436"/>
        <v>1.2447587210973002E-3</v>
      </c>
      <c r="S205" s="289">
        <f t="shared" si="436"/>
        <v>9.9332809482644739E-4</v>
      </c>
      <c r="T205" s="289">
        <f t="shared" ref="T205:V205" si="437">T100 * (1 - T$115)</f>
        <v>1.3396944624640774E-3</v>
      </c>
      <c r="U205" s="289">
        <f t="shared" si="437"/>
        <v>-1.218898756334076E-3</v>
      </c>
      <c r="V205" s="289">
        <f t="shared" si="437"/>
        <v>-1.1589529158586296E-3</v>
      </c>
      <c r="W205" s="289">
        <f t="shared" ref="W205:X205" si="438">W100 * (1 - W$115)</f>
        <v>-1.218898756334076E-3</v>
      </c>
      <c r="X205" s="289">
        <f t="shared" si="438"/>
        <v>-1.218898756334076E-3</v>
      </c>
      <c r="Y205" s="289">
        <f t="shared" ref="Y205:Z205" si="439">Y100 * (1 - Y$115)</f>
        <v>-1.1589529158586296E-3</v>
      </c>
      <c r="Z205" s="289">
        <f t="shared" si="439"/>
        <v>-1.1589529158586296E-3</v>
      </c>
      <c r="AA205" s="289">
        <f t="shared" ref="AA205:AB205" si="440">AA100 * (1 - AA$115)</f>
        <v>-1.1389709690334806E-3</v>
      </c>
      <c r="AB205" s="289">
        <f t="shared" si="440"/>
        <v>-1.1389709690334806E-3</v>
      </c>
      <c r="AC205" s="271"/>
      <c r="AD205" s="271"/>
    </row>
    <row r="206" spans="4:30" x14ac:dyDescent="0.25">
      <c r="F206" t="s">
        <v>194</v>
      </c>
      <c r="G206" t="s">
        <v>268</v>
      </c>
      <c r="H206" s="271"/>
      <c r="I206" s="271"/>
      <c r="J206" s="289">
        <f t="shared" ref="J206:K206" si="441">J101 * (1 - J$116)</f>
        <v>1.2190576574004099E-3</v>
      </c>
      <c r="K206" s="289">
        <f t="shared" si="441"/>
        <v>1.2190576574004099E-3</v>
      </c>
      <c r="L206" s="289">
        <f t="shared" ref="L206:M206" si="442">L101 * (1 - L$116)</f>
        <v>1.4159416387654474E-3</v>
      </c>
      <c r="M206" s="289">
        <f t="shared" si="442"/>
        <v>1.4159416387654474E-3</v>
      </c>
      <c r="N206" s="289">
        <f t="shared" ref="N206:P206" si="443">N101 * (1 - N$116)</f>
        <v>1.0945615444191612E-3</v>
      </c>
      <c r="O206" s="289">
        <f t="shared" si="443"/>
        <v>8.9024897121226508E-4</v>
      </c>
      <c r="P206" s="289">
        <f t="shared" si="443"/>
        <v>0</v>
      </c>
      <c r="Q206" s="289">
        <f t="shared" ref="Q206:S206" si="444">Q101 * (1 - Q$116)</f>
        <v>1.0945615444191612E-3</v>
      </c>
      <c r="R206" s="289">
        <f t="shared" si="444"/>
        <v>8.9024897121226508E-4</v>
      </c>
      <c r="S206" s="289">
        <f t="shared" si="444"/>
        <v>0</v>
      </c>
      <c r="T206" s="289">
        <f t="shared" ref="T206:V206" si="445">T101 * (1 - T$116)</f>
        <v>9.5814682535105193E-4</v>
      </c>
      <c r="U206" s="289">
        <f t="shared" si="445"/>
        <v>-8.7175397564738066E-4</v>
      </c>
      <c r="V206" s="289">
        <f t="shared" si="445"/>
        <v>-8.2888082930406676E-4</v>
      </c>
      <c r="W206" s="289">
        <f t="shared" ref="W206:X206" si="446">W101 * (1 - W$116)</f>
        <v>-8.7175397564738066E-4</v>
      </c>
      <c r="X206" s="289">
        <f t="shared" si="446"/>
        <v>-8.7175397564738066E-4</v>
      </c>
      <c r="Y206" s="289">
        <f t="shared" ref="Y206:Z206" si="447">Y101 * (1 - Y$116)</f>
        <v>-8.2888082930406676E-4</v>
      </c>
      <c r="Z206" s="289">
        <f t="shared" si="447"/>
        <v>-8.2888082930406676E-4</v>
      </c>
      <c r="AA206" s="289">
        <f t="shared" ref="AA206:AB206" si="448">AA101 * (1 - AA$116)</f>
        <v>-8.1458978052296213E-4</v>
      </c>
      <c r="AB206" s="289">
        <f t="shared" si="448"/>
        <v>-8.1458978052296213E-4</v>
      </c>
      <c r="AC206" s="271"/>
      <c r="AD206" s="271"/>
    </row>
    <row r="207" spans="4:30" x14ac:dyDescent="0.25">
      <c r="F207" t="s">
        <v>195</v>
      </c>
      <c r="G207" t="s">
        <v>268</v>
      </c>
      <c r="H207" s="271"/>
      <c r="I207" s="271"/>
      <c r="J207" s="289">
        <f t="shared" ref="J207:K207" si="449">J102 * (1 - J$117)</f>
        <v>0</v>
      </c>
      <c r="K207" s="289">
        <f t="shared" si="449"/>
        <v>0</v>
      </c>
      <c r="L207" s="289">
        <f t="shared" ref="L207:M207" si="450">L102 * (1 - L$117)</f>
        <v>0</v>
      </c>
      <c r="M207" s="289">
        <f t="shared" si="450"/>
        <v>0</v>
      </c>
      <c r="N207" s="289">
        <f t="shared" ref="N207:P207" si="451">N102 * (1 - N$117)</f>
        <v>0</v>
      </c>
      <c r="O207" s="289">
        <f t="shared" si="451"/>
        <v>0</v>
      </c>
      <c r="P207" s="289">
        <f t="shared" si="451"/>
        <v>0</v>
      </c>
      <c r="Q207" s="289">
        <f t="shared" ref="Q207:S207" si="452">Q102 * (1 - Q$117)</f>
        <v>0</v>
      </c>
      <c r="R207" s="289">
        <f t="shared" si="452"/>
        <v>0</v>
      </c>
      <c r="S207" s="289">
        <f t="shared" si="452"/>
        <v>0</v>
      </c>
      <c r="T207" s="289">
        <f t="shared" ref="T207:V207" si="453">T102 * (1 - T$117)</f>
        <v>0</v>
      </c>
      <c r="U207" s="289">
        <f t="shared" si="453"/>
        <v>0</v>
      </c>
      <c r="V207" s="289">
        <f t="shared" si="453"/>
        <v>0</v>
      </c>
      <c r="W207" s="289">
        <f t="shared" ref="W207:X207" si="454">W102 * (1 - W$117)</f>
        <v>0</v>
      </c>
      <c r="X207" s="289">
        <f t="shared" si="454"/>
        <v>0</v>
      </c>
      <c r="Y207" s="289">
        <f t="shared" ref="Y207:Z207" si="455">Y102 * (1 - Y$117)</f>
        <v>0</v>
      </c>
      <c r="Z207" s="289">
        <f t="shared" si="455"/>
        <v>0</v>
      </c>
      <c r="AA207" s="289">
        <f t="shared" ref="AA207:AB207" si="456">AA102 * (1 - AA$117)</f>
        <v>0</v>
      </c>
      <c r="AB207" s="289">
        <f t="shared" si="456"/>
        <v>0</v>
      </c>
      <c r="AC207" s="271"/>
      <c r="AD207" s="271"/>
    </row>
    <row r="208" spans="4:30" x14ac:dyDescent="0.25">
      <c r="F208" t="s">
        <v>196</v>
      </c>
      <c r="G208" t="s">
        <v>268</v>
      </c>
      <c r="H208" s="271"/>
      <c r="I208" s="271"/>
      <c r="J208" s="289">
        <f t="shared" ref="J208:K208" si="457">J103 * (1 - J$118)</f>
        <v>5.2444201935189071E-3</v>
      </c>
      <c r="K208" s="289">
        <f t="shared" si="457"/>
        <v>5.2444201935189071E-3</v>
      </c>
      <c r="L208" s="289">
        <f t="shared" ref="L208:M208" si="458">L103 * (1 - L$118)</f>
        <v>6.0914205969723884E-3</v>
      </c>
      <c r="M208" s="289">
        <f t="shared" si="458"/>
        <v>6.0914205969723884E-3</v>
      </c>
      <c r="N208" s="289">
        <f t="shared" ref="N208:P208" si="459">N103 * (1 - N$118)</f>
        <v>3.7670675422142906E-3</v>
      </c>
      <c r="O208" s="289">
        <f t="shared" si="459"/>
        <v>0</v>
      </c>
      <c r="P208" s="289">
        <f t="shared" si="459"/>
        <v>0</v>
      </c>
      <c r="Q208" s="289">
        <f t="shared" ref="Q208:S208" si="460">Q103 * (1 - Q$118)</f>
        <v>3.7670675422142906E-3</v>
      </c>
      <c r="R208" s="289">
        <f t="shared" si="460"/>
        <v>0</v>
      </c>
      <c r="S208" s="289">
        <f t="shared" si="460"/>
        <v>0</v>
      </c>
      <c r="T208" s="289">
        <f t="shared" ref="T208:V208" si="461">T103 * (1 - T$118)</f>
        <v>4.1219744847364589E-3</v>
      </c>
      <c r="U208" s="289">
        <f t="shared" si="461"/>
        <v>-3.750310025052286E-3</v>
      </c>
      <c r="V208" s="289">
        <f t="shared" si="461"/>
        <v>-3.5658685484103703E-3</v>
      </c>
      <c r="W208" s="289">
        <f t="shared" ref="W208:X208" si="462">W103 * (1 - W$118)</f>
        <v>-3.750310025052286E-3</v>
      </c>
      <c r="X208" s="289">
        <f t="shared" si="462"/>
        <v>-3.750310025052286E-3</v>
      </c>
      <c r="Y208" s="289">
        <f t="shared" ref="Y208:Z208" si="463">Y103 * (1 - Y$118)</f>
        <v>-3.5658685484103703E-3</v>
      </c>
      <c r="Z208" s="289">
        <f t="shared" si="463"/>
        <v>-3.5658685484103703E-3</v>
      </c>
      <c r="AA208" s="289">
        <f t="shared" ref="AA208:AB208" si="464">AA103 * (1 - AA$118)</f>
        <v>0</v>
      </c>
      <c r="AB208" s="289">
        <f t="shared" si="464"/>
        <v>0</v>
      </c>
      <c r="AC208" s="271"/>
      <c r="AD208" s="271"/>
    </row>
    <row r="209" spans="2:30" x14ac:dyDescent="0.25">
      <c r="F209" t="s">
        <v>197</v>
      </c>
      <c r="G209" t="s">
        <v>268</v>
      </c>
      <c r="H209" s="271"/>
      <c r="I209" s="271"/>
      <c r="J209" s="289">
        <f t="shared" ref="J209:K209" si="465">J104 * (1 - J$119)</f>
        <v>1.3180712926202751E-3</v>
      </c>
      <c r="K209" s="289">
        <f t="shared" si="465"/>
        <v>1.3180712926202751E-3</v>
      </c>
      <c r="L209" s="289">
        <f t="shared" ref="L209:M209" si="466">L104 * (1 - L$119)</f>
        <v>1.530946477184908E-3</v>
      </c>
      <c r="M209" s="289">
        <f t="shared" si="466"/>
        <v>1.530946477184908E-3</v>
      </c>
      <c r="N209" s="289">
        <f t="shared" ref="N209:P209" si="467">N104 * (1 - N$119)</f>
        <v>0</v>
      </c>
      <c r="O209" s="289">
        <f t="shared" si="467"/>
        <v>0</v>
      </c>
      <c r="P209" s="289">
        <f t="shared" si="467"/>
        <v>0</v>
      </c>
      <c r="Q209" s="289">
        <f t="shared" ref="Q209:S209" si="468">Q104 * (1 - Q$119)</f>
        <v>0</v>
      </c>
      <c r="R209" s="289">
        <f t="shared" si="468"/>
        <v>0</v>
      </c>
      <c r="S209" s="289">
        <f t="shared" si="468"/>
        <v>0</v>
      </c>
      <c r="T209" s="289">
        <f t="shared" ref="T209:V209" si="469">T104 * (1 - T$119)</f>
        <v>1.0359689034754667E-3</v>
      </c>
      <c r="U209" s="289">
        <f t="shared" si="469"/>
        <v>-9.4255910091953666E-4</v>
      </c>
      <c r="V209" s="289">
        <f t="shared" si="469"/>
        <v>0</v>
      </c>
      <c r="W209" s="289">
        <f t="shared" ref="W209:X209" si="470">W104 * (1 - W$119)</f>
        <v>-9.4255910091953666E-4</v>
      </c>
      <c r="X209" s="289">
        <f t="shared" si="470"/>
        <v>-9.4255910091953666E-4</v>
      </c>
      <c r="Y209" s="289">
        <f t="shared" ref="Y209:Z209" si="471">Y104 * (1 - Y$119)</f>
        <v>0</v>
      </c>
      <c r="Z209" s="289">
        <f t="shared" si="471"/>
        <v>0</v>
      </c>
      <c r="AA209" s="289">
        <f t="shared" ref="AA209:AB209" si="472">AA104 * (1 - AA$119)</f>
        <v>0</v>
      </c>
      <c r="AB209" s="289">
        <f t="shared" si="472"/>
        <v>0</v>
      </c>
      <c r="AC209" s="271"/>
      <c r="AD209" s="271"/>
    </row>
    <row r="210" spans="2:30" x14ac:dyDescent="0.25">
      <c r="F210" t="s">
        <v>198</v>
      </c>
      <c r="G210" t="s">
        <v>268</v>
      </c>
      <c r="H210" s="271"/>
      <c r="I210" s="271"/>
      <c r="J210" s="289">
        <f t="shared" ref="J210:K210" si="473">J105 * (1 - J$120)</f>
        <v>0</v>
      </c>
      <c r="K210" s="289">
        <f t="shared" si="473"/>
        <v>0</v>
      </c>
      <c r="L210" s="289">
        <f t="shared" ref="L210:M210" si="474">L105 * (1 - L$120)</f>
        <v>0</v>
      </c>
      <c r="M210" s="289">
        <f t="shared" si="474"/>
        <v>0</v>
      </c>
      <c r="N210" s="289">
        <f t="shared" ref="N210:P210" si="475">N105 * (1 - N$120)</f>
        <v>0</v>
      </c>
      <c r="O210" s="289">
        <f t="shared" si="475"/>
        <v>0</v>
      </c>
      <c r="P210" s="289">
        <f t="shared" si="475"/>
        <v>0</v>
      </c>
      <c r="Q210" s="289">
        <f t="shared" ref="Q210:S210" si="476">Q105 * (1 - Q$120)</f>
        <v>0</v>
      </c>
      <c r="R210" s="289">
        <f t="shared" si="476"/>
        <v>0</v>
      </c>
      <c r="S210" s="289">
        <f t="shared" si="476"/>
        <v>0</v>
      </c>
      <c r="T210" s="289">
        <f t="shared" ref="T210:V210" si="477">T105 * (1 - T$120)</f>
        <v>1.7425324487828188E-3</v>
      </c>
      <c r="U210" s="289">
        <f t="shared" si="477"/>
        <v>0</v>
      </c>
      <c r="V210" s="289">
        <f t="shared" si="477"/>
        <v>0</v>
      </c>
      <c r="W210" s="289">
        <f t="shared" ref="W210:X210" si="478">W105 * (1 - W$120)</f>
        <v>0</v>
      </c>
      <c r="X210" s="289">
        <f t="shared" si="478"/>
        <v>0</v>
      </c>
      <c r="Y210" s="289">
        <f t="shared" ref="Y210:Z210" si="479">Y105 * (1 - Y$120)</f>
        <v>0</v>
      </c>
      <c r="Z210" s="289">
        <f t="shared" si="479"/>
        <v>0</v>
      </c>
      <c r="AA210" s="289">
        <f t="shared" ref="AA210:AB210" si="480">AA105 * (1 - AA$120)</f>
        <v>0</v>
      </c>
      <c r="AB210" s="289">
        <f t="shared" si="480"/>
        <v>0</v>
      </c>
      <c r="AC210" s="271"/>
      <c r="AD210" s="271"/>
    </row>
    <row r="211" spans="2:30" x14ac:dyDescent="0.25">
      <c r="D211"/>
      <c r="F211" s="23" t="s">
        <v>375</v>
      </c>
      <c r="G211" s="23" t="s">
        <v>268</v>
      </c>
      <c r="H211" s="269"/>
      <c r="I211" s="269" t="s">
        <v>153</v>
      </c>
      <c r="J211" s="287"/>
      <c r="K211" s="287"/>
      <c r="L211" s="287"/>
      <c r="M211" s="287"/>
      <c r="N211" s="287"/>
      <c r="O211" s="287"/>
      <c r="P211" s="287"/>
      <c r="Q211" s="287"/>
      <c r="R211" s="287"/>
      <c r="S211" s="287"/>
      <c r="T211" s="288">
        <f>T106</f>
        <v>0.42942896297178434</v>
      </c>
      <c r="U211" s="287"/>
      <c r="V211" s="287"/>
      <c r="W211" s="287"/>
      <c r="X211" s="287"/>
      <c r="Y211" s="287"/>
      <c r="Z211" s="287"/>
      <c r="AA211" s="287"/>
      <c r="AB211" s="287"/>
      <c r="AC211" s="271"/>
      <c r="AD211" s="271" t="s">
        <v>653</v>
      </c>
    </row>
    <row r="212" spans="2:30" x14ac:dyDescent="0.25">
      <c r="D212"/>
      <c r="F212" s="37" t="s">
        <v>376</v>
      </c>
      <c r="G212" s="37" t="s">
        <v>268</v>
      </c>
      <c r="H212" s="275"/>
      <c r="I212" s="275"/>
      <c r="J212" s="276"/>
      <c r="K212" s="276"/>
      <c r="L212" s="276"/>
      <c r="M212" s="276"/>
      <c r="N212" s="276"/>
      <c r="O212" s="276"/>
      <c r="P212" s="276"/>
      <c r="Q212" s="276"/>
      <c r="R212" s="276"/>
      <c r="S212" s="276"/>
      <c r="T212" s="276"/>
      <c r="U212" s="276"/>
      <c r="V212" s="276"/>
      <c r="W212" s="276"/>
      <c r="X212" s="276"/>
      <c r="Y212" s="276"/>
      <c r="Z212" s="276"/>
      <c r="AA212" s="276"/>
      <c r="AB212" s="276"/>
      <c r="AC212" s="271"/>
      <c r="AD212" s="271"/>
    </row>
    <row r="213" spans="2:30" x14ac:dyDescent="0.25">
      <c r="J213" s="89"/>
      <c r="K213" s="89"/>
      <c r="L213" s="89"/>
      <c r="M213" s="89"/>
      <c r="N213" s="89"/>
      <c r="O213" s="89"/>
      <c r="P213" s="89"/>
      <c r="Q213" s="89"/>
      <c r="R213" s="89"/>
      <c r="S213" s="89"/>
      <c r="T213" s="89"/>
      <c r="U213" s="89"/>
      <c r="V213" s="89"/>
      <c r="W213" s="89"/>
      <c r="X213" s="89"/>
      <c r="Y213" s="89"/>
      <c r="Z213" s="89"/>
      <c r="AA213" s="89"/>
      <c r="AB213" s="89"/>
    </row>
    <row r="214" spans="2:30" x14ac:dyDescent="0.25">
      <c r="C214" s="31" t="str">
        <f ca="1">INDEX('Version control'!$H$34:$H$57,MATCH($A$1,'Version control'!$F$34:$F$57,0),1)&amp;"-H: Unit rates, post application of standing charges"</f>
        <v>Section 111-H: Unit rates, post application of standing charges</v>
      </c>
      <c r="D214" s="31"/>
      <c r="E214" s="31"/>
      <c r="F214" s="31"/>
      <c r="G214" s="31"/>
      <c r="H214" s="31"/>
      <c r="I214" s="31"/>
      <c r="J214" s="90"/>
      <c r="K214" s="90"/>
      <c r="L214" s="90"/>
      <c r="M214" s="90"/>
      <c r="N214" s="90"/>
      <c r="O214" s="90"/>
      <c r="P214" s="90"/>
      <c r="Q214" s="90"/>
      <c r="R214" s="90"/>
      <c r="S214" s="90"/>
      <c r="T214" s="90"/>
      <c r="U214" s="90"/>
      <c r="V214" s="90"/>
      <c r="W214" s="90"/>
      <c r="X214" s="90"/>
      <c r="Y214" s="90"/>
      <c r="Z214" s="90"/>
      <c r="AA214" s="90"/>
      <c r="AB214" s="90"/>
      <c r="AC214" s="31"/>
      <c r="AD214" s="31"/>
    </row>
    <row r="215" spans="2:30" x14ac:dyDescent="0.25">
      <c r="J215" s="89"/>
      <c r="K215" s="89"/>
      <c r="L215" s="89"/>
      <c r="M215" s="89"/>
      <c r="N215" s="89"/>
      <c r="O215" s="89"/>
      <c r="P215" s="89"/>
      <c r="Q215" s="89"/>
      <c r="R215" s="89"/>
      <c r="S215" s="89"/>
      <c r="T215" s="89"/>
      <c r="U215" s="89"/>
      <c r="V215" s="89"/>
      <c r="W215" s="89"/>
      <c r="X215" s="89"/>
      <c r="Y215" s="89"/>
      <c r="Z215" s="89"/>
      <c r="AA215" s="89"/>
      <c r="AB215" s="89"/>
      <c r="AD215" s="3"/>
    </row>
    <row r="216" spans="2:30" x14ac:dyDescent="0.25">
      <c r="D216"/>
      <c r="E216" s="32" t="s">
        <v>656</v>
      </c>
      <c r="F216" s="2"/>
      <c r="J216" s="89"/>
      <c r="K216" s="89"/>
      <c r="L216" s="89"/>
      <c r="M216" s="89"/>
      <c r="N216" s="89"/>
      <c r="O216" s="89"/>
      <c r="P216" s="89"/>
      <c r="Q216" s="89"/>
      <c r="R216" s="89"/>
      <c r="S216" s="89"/>
      <c r="T216" s="89"/>
      <c r="U216" s="89"/>
      <c r="V216" s="89"/>
      <c r="W216" s="89"/>
      <c r="X216" s="89"/>
      <c r="Y216" s="89"/>
      <c r="Z216" s="89"/>
      <c r="AA216" s="89"/>
      <c r="AB216" s="89"/>
      <c r="AD216" s="3"/>
    </row>
    <row r="217" spans="2:30" x14ac:dyDescent="0.25">
      <c r="D217"/>
      <c r="F217" s="23" t="s">
        <v>657</v>
      </c>
      <c r="G217" s="23" t="s">
        <v>268</v>
      </c>
      <c r="H217" s="269"/>
      <c r="I217" s="269"/>
      <c r="J217" s="278">
        <f t="shared" ref="J217:K217" si="481">SUM(J127:J138,J141:J152)</f>
        <v>9.0075798509575993</v>
      </c>
      <c r="K217" s="278">
        <f t="shared" si="481"/>
        <v>9.0075798509575993</v>
      </c>
      <c r="L217" s="278">
        <f t="shared" ref="L217:M217" si="482">SUM(L127:L138,L141:L152)</f>
        <v>10.462349584574492</v>
      </c>
      <c r="M217" s="278">
        <f t="shared" si="482"/>
        <v>10.462349584574492</v>
      </c>
      <c r="N217" s="278">
        <f t="shared" ref="N217:P217" si="483">SUM(N127:N138,N141:N152)</f>
        <v>7.0335580755778464</v>
      </c>
      <c r="O217" s="278">
        <f t="shared" si="483"/>
        <v>4.1620061131966093</v>
      </c>
      <c r="P217" s="278">
        <f t="shared" si="483"/>
        <v>3.1534185792984371</v>
      </c>
      <c r="Q217" s="278">
        <f t="shared" ref="Q217:S217" si="484">SUM(Q127:Q138,Q141:Q152)</f>
        <v>7.0335580755778464</v>
      </c>
      <c r="R217" s="278">
        <f t="shared" si="484"/>
        <v>4.1620061131966093</v>
      </c>
      <c r="S217" s="278">
        <f t="shared" si="484"/>
        <v>3.1534185792984371</v>
      </c>
      <c r="T217" s="278">
        <f t="shared" ref="T217:V217" si="485">SUM(T127:T138,T141:T152)</f>
        <v>21.581103155032686</v>
      </c>
      <c r="U217" s="278">
        <f t="shared" si="485"/>
        <v>-6.4413635387668471</v>
      </c>
      <c r="V217" s="278">
        <f t="shared" si="485"/>
        <v>-5.6891199709087141</v>
      </c>
      <c r="W217" s="278">
        <f t="shared" ref="W217:X217" si="486">SUM(W127:W138,W141:W152)</f>
        <v>-6.4413635387668471</v>
      </c>
      <c r="X217" s="278">
        <f t="shared" si="486"/>
        <v>-6.4413635387668471</v>
      </c>
      <c r="Y217" s="278">
        <f t="shared" ref="Y217:Z217" si="487">SUM(Y127:Y138,Y141:Y152)</f>
        <v>-5.6891199709087141</v>
      </c>
      <c r="Z217" s="278">
        <f t="shared" si="487"/>
        <v>-5.6891199709087141</v>
      </c>
      <c r="AA217" s="278">
        <f t="shared" ref="AA217:AB217" si="488">SUM(AA127:AA138,AA141:AA152)</f>
        <v>-3.732687631507082</v>
      </c>
      <c r="AB217" s="278">
        <f t="shared" si="488"/>
        <v>-3.732687631507082</v>
      </c>
      <c r="AC217" s="271"/>
      <c r="AD217" s="271"/>
    </row>
    <row r="218" spans="2:30" x14ac:dyDescent="0.25">
      <c r="D218"/>
      <c r="F218" t="s">
        <v>658</v>
      </c>
      <c r="G218" t="s">
        <v>268</v>
      </c>
      <c r="H218" s="271"/>
      <c r="I218" s="271"/>
      <c r="J218" s="279">
        <f t="shared" ref="J218:K218" si="489">SUM(J157:J168,J171:J182)</f>
        <v>0.88300920268903393</v>
      </c>
      <c r="K218" s="279">
        <f t="shared" si="489"/>
        <v>0.88300920268903393</v>
      </c>
      <c r="L218" s="279">
        <f t="shared" ref="L218:M218" si="490">SUM(L157:L168,L171:L182)</f>
        <v>1.0256196578648074</v>
      </c>
      <c r="M218" s="279">
        <f t="shared" si="490"/>
        <v>1.0256196578648074</v>
      </c>
      <c r="N218" s="279">
        <f t="shared" ref="N218:P218" si="491">SUM(N157:N168,N171:N182)</f>
        <v>0.66594714340259142</v>
      </c>
      <c r="O218" s="279">
        <f t="shared" si="491"/>
        <v>0.35402490513798557</v>
      </c>
      <c r="P218" s="279">
        <f t="shared" si="491"/>
        <v>0.25261633874531259</v>
      </c>
      <c r="Q218" s="279">
        <f t="shared" ref="Q218:S218" si="492">SUM(Q157:Q168,Q171:Q182)</f>
        <v>0.66594714340259142</v>
      </c>
      <c r="R218" s="279">
        <f t="shared" si="492"/>
        <v>0.35402490513798557</v>
      </c>
      <c r="S218" s="279">
        <f t="shared" si="492"/>
        <v>0.25261633874531259</v>
      </c>
      <c r="T218" s="279">
        <f t="shared" ref="T218:V218" si="493">SUM(T157:T168,T171:T182)</f>
        <v>1.1952447724229316</v>
      </c>
      <c r="U218" s="279">
        <f t="shared" si="493"/>
        <v>-0.63144411448010185</v>
      </c>
      <c r="V218" s="279">
        <f t="shared" si="493"/>
        <v>-0.54797375527131609</v>
      </c>
      <c r="W218" s="279">
        <f t="shared" ref="W218:X218" si="494">SUM(W157:W168,W171:W182)</f>
        <v>-0.63144411448010185</v>
      </c>
      <c r="X218" s="279">
        <f t="shared" si="494"/>
        <v>-0.63144411448010185</v>
      </c>
      <c r="Y218" s="279">
        <f t="shared" ref="Y218:Z218" si="495">SUM(Y157:Y168,Y171:Y182)</f>
        <v>-0.54797375527131609</v>
      </c>
      <c r="Z218" s="279">
        <f t="shared" si="495"/>
        <v>-0.54797375527131609</v>
      </c>
      <c r="AA218" s="279">
        <f t="shared" ref="AA218:AB218" si="496">SUM(AA157:AA168,AA171:AA182)</f>
        <v>-0.31633967493658671</v>
      </c>
      <c r="AB218" s="279">
        <f t="shared" si="496"/>
        <v>-0.31633967493658671</v>
      </c>
      <c r="AC218" s="271"/>
      <c r="AD218" s="271"/>
    </row>
    <row r="219" spans="2:30" x14ac:dyDescent="0.25">
      <c r="D219"/>
      <c r="F219" s="37" t="s">
        <v>659</v>
      </c>
      <c r="G219" s="37" t="s">
        <v>268</v>
      </c>
      <c r="H219" s="275"/>
      <c r="I219" s="275"/>
      <c r="J219" s="280">
        <f t="shared" ref="J219:K219" si="497">SUM(J187:J198,J201:J212)</f>
        <v>2.2825020549340613E-2</v>
      </c>
      <c r="K219" s="280">
        <f t="shared" si="497"/>
        <v>2.2825020549340613E-2</v>
      </c>
      <c r="L219" s="280">
        <f t="shared" ref="L219:M219" si="498">SUM(L187:L198,L201:L212)</f>
        <v>2.6511376886313207E-2</v>
      </c>
      <c r="M219" s="280">
        <f t="shared" si="498"/>
        <v>2.6511376886313207E-2</v>
      </c>
      <c r="N219" s="280">
        <f t="shared" ref="N219:P219" si="499">SUM(N187:N198,N201:N212)</f>
        <v>1.6180688220383998E-2</v>
      </c>
      <c r="O219" s="280">
        <f t="shared" si="499"/>
        <v>6.782565073577133E-3</v>
      </c>
      <c r="P219" s="280">
        <f t="shared" si="499"/>
        <v>4.0498989835803315E-3</v>
      </c>
      <c r="Q219" s="280">
        <f t="shared" ref="Q219:S219" si="500">SUM(Q187:Q198,Q201:Q212)</f>
        <v>1.6180688220383998E-2</v>
      </c>
      <c r="R219" s="280">
        <f t="shared" si="500"/>
        <v>6.782565073577133E-3</v>
      </c>
      <c r="S219" s="280">
        <f t="shared" si="500"/>
        <v>4.0498989835803315E-3</v>
      </c>
      <c r="T219" s="280">
        <f t="shared" ref="T219:V219" si="501">SUM(T187:T198,T201:T212)</f>
        <v>0.44929121314425297</v>
      </c>
      <c r="U219" s="280">
        <f t="shared" si="501"/>
        <v>-1.632228163067535E-2</v>
      </c>
      <c r="V219" s="280">
        <f t="shared" si="501"/>
        <v>-1.3737723553938727E-2</v>
      </c>
      <c r="W219" s="280">
        <f t="shared" ref="W219:X219" si="502">SUM(W187:W198,W201:W212)</f>
        <v>-1.632228163067535E-2</v>
      </c>
      <c r="X219" s="280">
        <f t="shared" si="502"/>
        <v>-1.632228163067535E-2</v>
      </c>
      <c r="Y219" s="280">
        <f t="shared" ref="Y219:Z219" si="503">SUM(Y187:Y198,Y201:Y212)</f>
        <v>-1.3737723553938727E-2</v>
      </c>
      <c r="Z219" s="280">
        <f t="shared" si="503"/>
        <v>-1.3737723553938727E-2</v>
      </c>
      <c r="AA219" s="280">
        <f t="shared" ref="AA219:AB219" si="504">SUM(AA187:AA198,AA201:AA212)</f>
        <v>-6.0015573611233893E-3</v>
      </c>
      <c r="AB219" s="280">
        <f t="shared" si="504"/>
        <v>-6.0015573611233893E-3</v>
      </c>
      <c r="AC219" s="271"/>
      <c r="AD219" s="271"/>
    </row>
    <row r="221" spans="2:30" x14ac:dyDescent="0.25">
      <c r="B221" s="30" t="s">
        <v>230</v>
      </c>
      <c r="C221" s="30"/>
      <c r="D221" s="30"/>
      <c r="E221" s="30"/>
      <c r="F221" s="30"/>
      <c r="G221" s="30"/>
      <c r="H221" s="30"/>
      <c r="I221" s="30"/>
      <c r="J221" s="30"/>
      <c r="K221" s="30"/>
      <c r="L221" s="30"/>
      <c r="M221" s="30"/>
      <c r="N221" s="30"/>
      <c r="O221" s="30"/>
      <c r="P221" s="30"/>
      <c r="Q221" s="30"/>
      <c r="R221" s="30"/>
      <c r="S221" s="30"/>
      <c r="T221" s="30"/>
      <c r="U221" s="30"/>
      <c r="V221" s="30"/>
      <c r="W221" s="30"/>
      <c r="X221" s="30"/>
      <c r="Y221" s="30"/>
      <c r="Z221" s="30"/>
      <c r="AA221" s="30"/>
      <c r="AB221" s="30"/>
      <c r="AC221" s="30"/>
      <c r="AD221" s="30"/>
    </row>
    <row r="222" spans="2:30" x14ac:dyDescent="0.25">
      <c r="AD222" s="3"/>
    </row>
    <row r="223" spans="2:30" x14ac:dyDescent="0.25">
      <c r="E223" t="s">
        <v>231</v>
      </c>
      <c r="G223" s="6" t="s">
        <v>54</v>
      </c>
      <c r="H223" s="26">
        <f t="array" ref="H223">SUM(IF(ISERROR(H22:AB219), 1))</f>
        <v>0</v>
      </c>
      <c r="AD223" s="3"/>
    </row>
    <row r="225" spans="2:30" x14ac:dyDescent="0.25">
      <c r="B225" s="30" t="s">
        <v>105</v>
      </c>
      <c r="C225" s="30"/>
      <c r="D225" s="30"/>
      <c r="E225" s="30"/>
      <c r="F225" s="30"/>
      <c r="G225" s="30"/>
      <c r="H225" s="30"/>
      <c r="I225" s="30"/>
      <c r="J225" s="30"/>
      <c r="K225" s="30"/>
      <c r="L225" s="30"/>
      <c r="M225" s="30"/>
      <c r="N225" s="30"/>
      <c r="O225" s="30"/>
      <c r="P225" s="30"/>
      <c r="Q225" s="30"/>
      <c r="R225" s="30"/>
      <c r="S225" s="30"/>
      <c r="T225" s="30"/>
      <c r="U225" s="30"/>
      <c r="V225" s="30"/>
      <c r="W225" s="30"/>
      <c r="X225" s="30"/>
      <c r="Y225" s="30"/>
      <c r="Z225" s="30"/>
      <c r="AA225" s="30"/>
      <c r="AB225" s="30"/>
      <c r="AC225" s="30"/>
      <c r="AD225" s="30"/>
    </row>
    <row r="226" spans="2:30" x14ac:dyDescent="0.25">
      <c r="AD226" s="3"/>
    </row>
    <row r="228" spans="2:30" x14ac:dyDescent="0.25">
      <c r="AD228" s="3"/>
    </row>
    <row r="229" spans="2:30" x14ac:dyDescent="0.25">
      <c r="J229" s="63"/>
      <c r="L229" s="63"/>
    </row>
    <row r="230" spans="2:30" x14ac:dyDescent="0.25">
      <c r="J230" s="63"/>
      <c r="L230" s="63"/>
    </row>
    <row r="231" spans="2:30" x14ac:dyDescent="0.25">
      <c r="J231" s="63"/>
      <c r="L231" s="63"/>
    </row>
    <row r="232" spans="2:30" x14ac:dyDescent="0.25">
      <c r="J232" s="63"/>
      <c r="L232" s="63"/>
    </row>
    <row r="233" spans="2:30" x14ac:dyDescent="0.25">
      <c r="J233" s="63"/>
      <c r="L233" s="63"/>
    </row>
    <row r="234" spans="2:30" x14ac:dyDescent="0.25">
      <c r="J234" s="63"/>
      <c r="L234" s="63"/>
    </row>
    <row r="235" spans="2:30" x14ac:dyDescent="0.25">
      <c r="J235" s="63"/>
      <c r="L235" s="63"/>
    </row>
    <row r="236" spans="2:30" x14ac:dyDescent="0.25">
      <c r="J236" s="63"/>
      <c r="L236" s="63"/>
    </row>
    <row r="237" spans="2:30" x14ac:dyDescent="0.25">
      <c r="J237" s="63"/>
      <c r="L237" s="63"/>
    </row>
    <row r="238" spans="2:30" x14ac:dyDescent="0.25">
      <c r="J238" s="63"/>
      <c r="L238" s="63"/>
    </row>
    <row r="239" spans="2:30" x14ac:dyDescent="0.25">
      <c r="J239" s="63"/>
      <c r="L239" s="63"/>
    </row>
    <row r="240" spans="2:30" x14ac:dyDescent="0.25">
      <c r="J240" s="63"/>
      <c r="L240" s="63"/>
    </row>
    <row r="241" spans="10:12" x14ac:dyDescent="0.25">
      <c r="J241" s="63"/>
      <c r="L241" s="63"/>
    </row>
    <row r="242" spans="10:12" x14ac:dyDescent="0.25">
      <c r="J242" s="63"/>
      <c r="L242" s="63"/>
    </row>
    <row r="243" spans="10:12" x14ac:dyDescent="0.25">
      <c r="J243" s="63"/>
      <c r="L243" s="63"/>
    </row>
    <row r="244" spans="10:12" x14ac:dyDescent="0.25">
      <c r="J244" s="63"/>
      <c r="L244" s="63"/>
    </row>
    <row r="245" spans="10:12" x14ac:dyDescent="0.25">
      <c r="J245" s="63"/>
      <c r="L245" s="63"/>
    </row>
    <row r="246" spans="10:12" x14ac:dyDescent="0.25">
      <c r="J246" s="63"/>
      <c r="L246" s="63"/>
    </row>
    <row r="247" spans="10:12" x14ac:dyDescent="0.25">
      <c r="J247" s="63"/>
      <c r="L247" s="63"/>
    </row>
    <row r="248" spans="10:12" x14ac:dyDescent="0.25">
      <c r="J248" s="63"/>
      <c r="L248" s="63"/>
    </row>
    <row r="249" spans="10:12" x14ac:dyDescent="0.25">
      <c r="J249" s="63"/>
      <c r="L249" s="63"/>
    </row>
    <row r="250" spans="10:12" x14ac:dyDescent="0.25">
      <c r="J250" s="63"/>
      <c r="L250" s="63"/>
    </row>
    <row r="251" spans="10:12" x14ac:dyDescent="0.25">
      <c r="J251" s="63"/>
      <c r="L251" s="63"/>
    </row>
    <row r="252" spans="10:12" x14ac:dyDescent="0.25">
      <c r="J252" s="63"/>
      <c r="L252" s="63"/>
    </row>
    <row r="253" spans="10:12" x14ac:dyDescent="0.25">
      <c r="J253" s="63"/>
      <c r="L253" s="63"/>
    </row>
    <row r="254" spans="10:12" x14ac:dyDescent="0.25">
      <c r="J254" s="63"/>
      <c r="L254" s="63"/>
    </row>
    <row r="255" spans="10:12" x14ac:dyDescent="0.25">
      <c r="J255" s="63"/>
      <c r="L255" s="63"/>
    </row>
    <row r="256" spans="10:12" x14ac:dyDescent="0.25">
      <c r="J256" s="63"/>
      <c r="L256" s="63"/>
    </row>
    <row r="257" spans="10:12" x14ac:dyDescent="0.25">
      <c r="J257" s="63"/>
      <c r="L257" s="63"/>
    </row>
    <row r="258" spans="10:12" x14ac:dyDescent="0.25">
      <c r="J258" s="63"/>
      <c r="L258" s="63"/>
    </row>
    <row r="259" spans="10:12" x14ac:dyDescent="0.25">
      <c r="J259" s="63"/>
      <c r="L259" s="63"/>
    </row>
    <row r="260" spans="10:12" x14ac:dyDescent="0.25">
      <c r="J260" s="63"/>
      <c r="L260" s="63"/>
    </row>
    <row r="261" spans="10:12" x14ac:dyDescent="0.25">
      <c r="J261" s="63"/>
      <c r="L261" s="63"/>
    </row>
  </sheetData>
  <sheetProtection sheet="1" objects="1" formatCells="0" formatColumns="0" formatRows="0" sort="0" autoFilter="0"/>
  <conditionalFormatting sqref="H223">
    <cfRule type="cellIs" dxfId="91" priority="10" operator="greaterThan">
      <formula>0</formula>
    </cfRule>
  </conditionalFormatting>
  <conditionalFormatting sqref="A4:I4 AC4:XFD4">
    <cfRule type="expression" dxfId="90" priority="9">
      <formula>LEFT($A$4,1) &lt;&gt; "0"</formula>
    </cfRule>
  </conditionalFormatting>
  <conditionalFormatting sqref="N4:S4">
    <cfRule type="expression" dxfId="89" priority="8">
      <formula>LEFT($A$4,1) &lt;&gt; "0"</formula>
    </cfRule>
  </conditionalFormatting>
  <conditionalFormatting sqref="L4:M4">
    <cfRule type="expression" dxfId="88" priority="7">
      <formula>LEFT($A$4,1) &lt;&gt; "0"</formula>
    </cfRule>
  </conditionalFormatting>
  <conditionalFormatting sqref="J4:K4">
    <cfRule type="expression" dxfId="87" priority="6">
      <formula>LEFT($A$4,1) &lt;&gt; "0"</formula>
    </cfRule>
  </conditionalFormatting>
  <conditionalFormatting sqref="T4">
    <cfRule type="expression" dxfId="86" priority="5">
      <formula>LEFT($A$4,1) &lt;&gt; "0"</formula>
    </cfRule>
  </conditionalFormatting>
  <conditionalFormatting sqref="U4:V4">
    <cfRule type="expression" dxfId="85" priority="4">
      <formula>LEFT($A$4,1) &lt;&gt; "0"</formula>
    </cfRule>
  </conditionalFormatting>
  <conditionalFormatting sqref="W4:X4">
    <cfRule type="expression" dxfId="84" priority="3">
      <formula>LEFT($A$4,1) &lt;&gt; "0"</formula>
    </cfRule>
  </conditionalFormatting>
  <conditionalFormatting sqref="Y4:Z4">
    <cfRule type="expression" dxfId="83" priority="2">
      <formula>LEFT($A$4,1) &lt;&gt; "0"</formula>
    </cfRule>
  </conditionalFormatting>
  <conditionalFormatting sqref="AA4:AB4">
    <cfRule type="expression" dxfId="82" priority="1">
      <formula>LEFT($A$4,1) &lt;&gt; "0"</formula>
    </cfRule>
  </conditionalFormatting>
  <hyperlinks>
    <hyperlink ref="B5:F5" location="'Model map'!A1" display="Click here to return to model map" xr:uid="{00000000-0004-0000-1300-000000000000}"/>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tabColor theme="4" tint="0.59999389629810485"/>
    <pageSetUpPr fitToPage="1"/>
  </sheetPr>
  <dimension ref="A1:LB292"/>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8" width="17" customWidth="1"/>
    <col min="29" max="29" width="2.42578125" customWidth="1"/>
    <col min="30" max="30" width="50.5703125" customWidth="1"/>
    <col min="31" max="31" width="2.42578125" customWidth="1"/>
    <col min="32" max="32" width="24.5703125" hidden="1" customWidth="1"/>
    <col min="33" max="33" width="3.5703125" hidden="1" customWidth="1"/>
    <col min="34" max="34" width="15.42578125" hidden="1" customWidth="1"/>
    <col min="35" max="314" width="24.5703125" hidden="1" customWidth="1"/>
    <col min="315" max="16384" width="8.5703125" hidden="1"/>
  </cols>
  <sheetData>
    <row r="1" spans="1:30" s="1" customFormat="1" x14ac:dyDescent="0.25">
      <c r="A1" s="1" t="str">
        <f ca="1">MID(CELL("filename",A1),FIND("]",CELL("filename",A1))+1,255)</f>
        <v>Reactive power charges</v>
      </c>
    </row>
    <row r="2" spans="1:30" s="1" customFormat="1" x14ac:dyDescent="0.25">
      <c r="A2" s="1" t="str">
        <f>Cover!D21&amp;" - "&amp;Cover!D23</f>
        <v>SP Distribution - Two</v>
      </c>
    </row>
    <row r="3" spans="1:30" s="5" customFormat="1" x14ac:dyDescent="0.25">
      <c r="A3" s="5" t="str">
        <f>Cover!D2&amp;" - "&amp;Cover!D8&amp;" v"&amp;Cover!D10&amp;" - "&amp;Cover!D19</f>
        <v>CDCM charging model - Release for charge setting v6 - 2021/22</v>
      </c>
    </row>
    <row r="4" spans="1:30" x14ac:dyDescent="0.25">
      <c r="A4" s="12" t="str">
        <f>H254 &amp; IF(H254 = 1, " issue", " issues") &amp;" identified in checks on this sheet"</f>
        <v>0 issues identified in checks on this sheet</v>
      </c>
      <c r="B4" s="13"/>
      <c r="C4" s="13"/>
      <c r="D4" s="13"/>
      <c r="E4" s="13"/>
      <c r="F4" s="13"/>
      <c r="G4" s="13"/>
      <c r="H4" s="14"/>
      <c r="I4" s="14"/>
    </row>
    <row r="5" spans="1:30" ht="60" x14ac:dyDescent="0.25">
      <c r="B5" s="59" t="s">
        <v>141</v>
      </c>
      <c r="C5" s="60"/>
      <c r="D5" s="60"/>
      <c r="E5" s="60"/>
      <c r="F5" s="60"/>
      <c r="G5" s="61" t="s">
        <v>142</v>
      </c>
      <c r="H5" s="62" t="s">
        <v>143</v>
      </c>
      <c r="J5" s="62" t="s">
        <v>893</v>
      </c>
      <c r="K5" s="62" t="s">
        <v>895</v>
      </c>
      <c r="L5" s="62" t="s">
        <v>894</v>
      </c>
      <c r="M5" s="62" t="s">
        <v>896</v>
      </c>
      <c r="N5" s="62" t="s">
        <v>902</v>
      </c>
      <c r="O5" s="62" t="s">
        <v>903</v>
      </c>
      <c r="P5" s="62" t="s">
        <v>904</v>
      </c>
      <c r="Q5" s="62" t="s">
        <v>1027</v>
      </c>
      <c r="R5" s="62" t="s">
        <v>1028</v>
      </c>
      <c r="S5" s="62" t="s">
        <v>1029</v>
      </c>
      <c r="T5" s="62" t="s">
        <v>905</v>
      </c>
      <c r="U5" s="62" t="s">
        <v>897</v>
      </c>
      <c r="V5" s="62" t="s">
        <v>898</v>
      </c>
      <c r="W5" s="62" t="s">
        <v>899</v>
      </c>
      <c r="X5" s="62" t="s">
        <v>908</v>
      </c>
      <c r="Y5" s="62" t="s">
        <v>900</v>
      </c>
      <c r="Z5" s="62" t="s">
        <v>907</v>
      </c>
      <c r="AA5" s="62" t="s">
        <v>901</v>
      </c>
      <c r="AB5" s="62" t="s">
        <v>906</v>
      </c>
      <c r="AD5" s="61" t="s">
        <v>144</v>
      </c>
    </row>
    <row r="7" spans="1:30" x14ac:dyDescent="0.25">
      <c r="B7" s="30" t="s">
        <v>9</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row>
    <row r="9" spans="1:30" x14ac:dyDescent="0.25">
      <c r="C9" s="29" t="s">
        <v>660</v>
      </c>
      <c r="D9"/>
    </row>
    <row r="10" spans="1:30" x14ac:dyDescent="0.25">
      <c r="C10" s="29" t="s">
        <v>661</v>
      </c>
      <c r="D10"/>
      <c r="E10"/>
    </row>
    <row r="11" spans="1:30" x14ac:dyDescent="0.25">
      <c r="C11" s="91" t="s">
        <v>662</v>
      </c>
    </row>
    <row r="13" spans="1:30" x14ac:dyDescent="0.25">
      <c r="B13" s="30" t="s">
        <v>663</v>
      </c>
      <c r="C13" s="30"/>
      <c r="D13" s="30"/>
      <c r="E13" s="30"/>
      <c r="F13" s="30"/>
      <c r="G13" s="30"/>
      <c r="H13" s="30"/>
      <c r="I13" s="30"/>
      <c r="J13" s="30"/>
      <c r="K13" s="30"/>
      <c r="L13" s="30"/>
      <c r="M13" s="30"/>
      <c r="N13" s="30"/>
      <c r="O13" s="30"/>
      <c r="P13" s="30"/>
      <c r="Q13" s="30"/>
      <c r="R13" s="30"/>
      <c r="S13" s="30"/>
      <c r="T13" s="30"/>
      <c r="U13" s="30"/>
      <c r="V13" s="30"/>
      <c r="W13" s="30"/>
      <c r="X13" s="30"/>
      <c r="Y13" s="30"/>
      <c r="Z13" s="30"/>
      <c r="AA13" s="30"/>
      <c r="AB13" s="30"/>
      <c r="AC13" s="30"/>
      <c r="AD13" s="30"/>
    </row>
    <row r="15" spans="1:30" x14ac:dyDescent="0.25">
      <c r="C15" s="29" t="s">
        <v>664</v>
      </c>
    </row>
    <row r="17" spans="3:30" x14ac:dyDescent="0.25">
      <c r="C17" s="31" t="str">
        <f ca="1">INDEX('Version control'!$H$34:$H$57,MATCH($A$1,'Version control'!$F$34:$F$57,0),1)&amp;"-A: Inputs to reactive power charge calculations"</f>
        <v>Section 112-A: Inputs to reactive power charge calculations</v>
      </c>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row>
    <row r="18" spans="3:30" x14ac:dyDescent="0.25">
      <c r="C18" s="32"/>
      <c r="D18"/>
      <c r="E18" s="32"/>
    </row>
    <row r="19" spans="3:30" x14ac:dyDescent="0.25">
      <c r="D19" s="32" t="s">
        <v>284</v>
      </c>
    </row>
    <row r="20" spans="3:30" x14ac:dyDescent="0.25">
      <c r="D20" s="29" t="s">
        <v>665</v>
      </c>
      <c r="E20"/>
    </row>
    <row r="21" spans="3:30" x14ac:dyDescent="0.25">
      <c r="C21" s="88"/>
      <c r="E21" s="23" t="s">
        <v>188</v>
      </c>
      <c r="F21" s="23"/>
      <c r="G21" s="23" t="s">
        <v>666</v>
      </c>
      <c r="H21" s="83"/>
    </row>
    <row r="22" spans="3:30" x14ac:dyDescent="0.25">
      <c r="C22" s="88"/>
      <c r="E22" t="s">
        <v>190</v>
      </c>
      <c r="G22" t="s">
        <v>666</v>
      </c>
      <c r="H22" s="120">
        <f t="array" ref="H22:H30">TRANSPOSE('Inputs by network level'!K21:S21)</f>
        <v>0.26509994640061324</v>
      </c>
    </row>
    <row r="23" spans="3:30" x14ac:dyDescent="0.25">
      <c r="C23" s="88"/>
      <c r="E23" t="s">
        <v>191</v>
      </c>
      <c r="G23" t="s">
        <v>666</v>
      </c>
      <c r="H23" s="120">
        <v>0</v>
      </c>
    </row>
    <row r="24" spans="3:30" x14ac:dyDescent="0.25">
      <c r="C24" s="88"/>
      <c r="E24" t="s">
        <v>192</v>
      </c>
      <c r="G24" t="s">
        <v>666</v>
      </c>
      <c r="H24" s="120">
        <v>0</v>
      </c>
    </row>
    <row r="25" spans="3:30" x14ac:dyDescent="0.25">
      <c r="C25" s="88"/>
      <c r="E25" t="s">
        <v>193</v>
      </c>
      <c r="G25" t="s">
        <v>666</v>
      </c>
      <c r="H25" s="120">
        <v>0.26509994640061324</v>
      </c>
    </row>
    <row r="26" spans="3:30" x14ac:dyDescent="0.25">
      <c r="C26" s="88"/>
      <c r="E26" t="s">
        <v>194</v>
      </c>
      <c r="G26" t="s">
        <v>666</v>
      </c>
      <c r="H26" s="120">
        <v>0.21690566590786087</v>
      </c>
    </row>
    <row r="27" spans="3:30" x14ac:dyDescent="0.25">
      <c r="C27" s="88"/>
      <c r="E27" t="s">
        <v>195</v>
      </c>
      <c r="G27" t="s">
        <v>666</v>
      </c>
      <c r="H27" s="120">
        <v>0</v>
      </c>
    </row>
    <row r="28" spans="3:30" x14ac:dyDescent="0.25">
      <c r="C28" s="88"/>
      <c r="E28" t="s">
        <v>196</v>
      </c>
      <c r="G28" t="s">
        <v>666</v>
      </c>
      <c r="H28" s="120">
        <v>0.21690566590786087</v>
      </c>
    </row>
    <row r="29" spans="3:30" x14ac:dyDescent="0.25">
      <c r="C29" s="88"/>
      <c r="E29" t="s">
        <v>197</v>
      </c>
      <c r="G29" t="s">
        <v>666</v>
      </c>
      <c r="H29" s="120">
        <v>0.21690566590786087</v>
      </c>
    </row>
    <row r="30" spans="3:30" x14ac:dyDescent="0.25">
      <c r="C30" s="88"/>
      <c r="E30" t="s">
        <v>198</v>
      </c>
      <c r="G30" t="s">
        <v>666</v>
      </c>
      <c r="H30" s="120">
        <v>0.21690566590786087</v>
      </c>
    </row>
    <row r="31" spans="3:30" x14ac:dyDescent="0.25">
      <c r="C31" s="88"/>
      <c r="E31" t="s">
        <v>375</v>
      </c>
      <c r="G31" t="s">
        <v>666</v>
      </c>
      <c r="H31" s="79"/>
    </row>
    <row r="32" spans="3:30" x14ac:dyDescent="0.25">
      <c r="C32" s="88"/>
      <c r="E32" s="37" t="s">
        <v>376</v>
      </c>
      <c r="F32" s="37"/>
      <c r="G32" s="37" t="s">
        <v>666</v>
      </c>
      <c r="H32" s="81"/>
    </row>
    <row r="33" spans="3:8" x14ac:dyDescent="0.25">
      <c r="C33" s="88"/>
      <c r="H33" s="89"/>
    </row>
    <row r="34" spans="3:8" x14ac:dyDescent="0.25">
      <c r="D34" s="88" t="s">
        <v>393</v>
      </c>
      <c r="H34" s="89"/>
    </row>
    <row r="35" spans="3:8" x14ac:dyDescent="0.25">
      <c r="C35" s="88"/>
      <c r="E35" s="23" t="s">
        <v>188</v>
      </c>
      <c r="F35" s="23"/>
      <c r="G35" s="64" t="s">
        <v>282</v>
      </c>
      <c r="H35" s="124">
        <f t="array" ref="H35:H44">TRANSPOSE('Load &amp; loss characteristics'!J29:S29)</f>
        <v>1</v>
      </c>
    </row>
    <row r="36" spans="3:8" x14ac:dyDescent="0.25">
      <c r="C36" s="88"/>
      <c r="E36" t="s">
        <v>190</v>
      </c>
      <c r="G36" s="28" t="s">
        <v>282</v>
      </c>
      <c r="H36" s="120">
        <v>1</v>
      </c>
    </row>
    <row r="37" spans="3:8" x14ac:dyDescent="0.25">
      <c r="C37" s="88"/>
      <c r="E37" t="s">
        <v>191</v>
      </c>
      <c r="G37" s="28" t="s">
        <v>282</v>
      </c>
      <c r="H37" s="120">
        <v>1</v>
      </c>
    </row>
    <row r="38" spans="3:8" x14ac:dyDescent="0.25">
      <c r="C38" s="88"/>
      <c r="E38" t="s">
        <v>192</v>
      </c>
      <c r="G38" s="28" t="s">
        <v>282</v>
      </c>
      <c r="H38" s="120">
        <v>1</v>
      </c>
    </row>
    <row r="39" spans="3:8" x14ac:dyDescent="0.25">
      <c r="C39" s="88"/>
      <c r="E39" t="s">
        <v>193</v>
      </c>
      <c r="G39" s="28" t="s">
        <v>282</v>
      </c>
      <c r="H39" s="120">
        <v>1.004</v>
      </c>
    </row>
    <row r="40" spans="3:8" x14ac:dyDescent="0.25">
      <c r="C40" s="88"/>
      <c r="E40" t="s">
        <v>194</v>
      </c>
      <c r="G40" s="28" t="s">
        <v>282</v>
      </c>
      <c r="H40" s="120">
        <v>1.0129999999999999</v>
      </c>
    </row>
    <row r="41" spans="3:8" x14ac:dyDescent="0.25">
      <c r="C41" s="88"/>
      <c r="E41" t="s">
        <v>195</v>
      </c>
      <c r="G41" s="28" t="s">
        <v>282</v>
      </c>
      <c r="H41" s="120">
        <v>1.0129999999999999</v>
      </c>
    </row>
    <row r="42" spans="3:8" x14ac:dyDescent="0.25">
      <c r="C42" s="88"/>
      <c r="E42" t="s">
        <v>196</v>
      </c>
      <c r="G42" s="28" t="s">
        <v>282</v>
      </c>
      <c r="H42" s="120">
        <v>1.026</v>
      </c>
    </row>
    <row r="43" spans="3:8" x14ac:dyDescent="0.25">
      <c r="C43" s="88"/>
      <c r="E43" t="s">
        <v>197</v>
      </c>
      <c r="G43" s="28" t="s">
        <v>282</v>
      </c>
      <c r="H43" s="120">
        <v>1.044</v>
      </c>
    </row>
    <row r="44" spans="3:8" x14ac:dyDescent="0.25">
      <c r="C44" s="88"/>
      <c r="E44" t="s">
        <v>198</v>
      </c>
      <c r="G44" s="28" t="s">
        <v>282</v>
      </c>
      <c r="H44" s="120">
        <v>1.0980000000000001</v>
      </c>
    </row>
    <row r="45" spans="3:8" x14ac:dyDescent="0.25">
      <c r="C45" s="88"/>
      <c r="E45" t="s">
        <v>375</v>
      </c>
      <c r="G45" s="28" t="s">
        <v>282</v>
      </c>
      <c r="H45" s="79"/>
    </row>
    <row r="46" spans="3:8" x14ac:dyDescent="0.25">
      <c r="C46" s="88"/>
      <c r="E46" s="37" t="s">
        <v>376</v>
      </c>
      <c r="F46" s="37"/>
      <c r="G46" s="67" t="s">
        <v>282</v>
      </c>
      <c r="H46" s="81"/>
    </row>
    <row r="47" spans="3:8" x14ac:dyDescent="0.25">
      <c r="C47" s="88"/>
      <c r="H47" s="89"/>
    </row>
    <row r="48" spans="3:8" x14ac:dyDescent="0.25">
      <c r="D48" s="32" t="s">
        <v>667</v>
      </c>
      <c r="H48" s="89"/>
    </row>
    <row r="49" spans="3:8" x14ac:dyDescent="0.25">
      <c r="C49" s="88"/>
      <c r="E49" s="23" t="s">
        <v>188</v>
      </c>
      <c r="F49" s="23"/>
      <c r="G49" s="23" t="s">
        <v>584</v>
      </c>
      <c r="H49" s="83"/>
    </row>
    <row r="50" spans="3:8" x14ac:dyDescent="0.25">
      <c r="C50" s="88"/>
      <c r="E50" t="s">
        <v>190</v>
      </c>
      <c r="G50" t="s">
        <v>584</v>
      </c>
      <c r="H50" s="79"/>
    </row>
    <row r="51" spans="3:8" x14ac:dyDescent="0.25">
      <c r="C51" s="88"/>
      <c r="E51" t="s">
        <v>191</v>
      </c>
      <c r="G51" t="s">
        <v>584</v>
      </c>
      <c r="H51" s="120">
        <f t="array" ref="H51:H58">TRANSPOSE('Unit costs'!L114:S114)</f>
        <v>0</v>
      </c>
    </row>
    <row r="52" spans="3:8" x14ac:dyDescent="0.25">
      <c r="C52" s="88"/>
      <c r="E52" t="s">
        <v>192</v>
      </c>
      <c r="G52" t="s">
        <v>584</v>
      </c>
      <c r="H52" s="120">
        <v>0</v>
      </c>
    </row>
    <row r="53" spans="3:8" x14ac:dyDescent="0.25">
      <c r="C53" s="88"/>
      <c r="E53" t="s">
        <v>193</v>
      </c>
      <c r="G53" t="s">
        <v>584</v>
      </c>
      <c r="H53" s="120">
        <v>12.478071335403621</v>
      </c>
    </row>
    <row r="54" spans="3:8" x14ac:dyDescent="0.25">
      <c r="C54" s="88"/>
      <c r="E54" t="s">
        <v>194</v>
      </c>
      <c r="G54" t="s">
        <v>584</v>
      </c>
      <c r="H54" s="120">
        <v>3.2261046387145558</v>
      </c>
    </row>
    <row r="55" spans="3:8" x14ac:dyDescent="0.25">
      <c r="C55" s="88"/>
      <c r="E55" t="s">
        <v>195</v>
      </c>
      <c r="G55" t="s">
        <v>584</v>
      </c>
      <c r="H55" s="120">
        <v>0</v>
      </c>
    </row>
    <row r="56" spans="3:8" x14ac:dyDescent="0.25">
      <c r="C56" s="88"/>
      <c r="E56" t="s">
        <v>196</v>
      </c>
      <c r="G56" t="s">
        <v>584</v>
      </c>
      <c r="H56" s="120">
        <v>14.056901421102715</v>
      </c>
    </row>
    <row r="57" spans="3:8" x14ac:dyDescent="0.25">
      <c r="C57" s="88"/>
      <c r="E57" t="s">
        <v>197</v>
      </c>
      <c r="G57" t="s">
        <v>584</v>
      </c>
      <c r="H57" s="120">
        <v>3.5948780096052633</v>
      </c>
    </row>
    <row r="58" spans="3:8" x14ac:dyDescent="0.25">
      <c r="C58" s="88"/>
      <c r="E58" t="s">
        <v>198</v>
      </c>
      <c r="G58" t="s">
        <v>584</v>
      </c>
      <c r="H58" s="120">
        <v>6.359458733192529</v>
      </c>
    </row>
    <row r="59" spans="3:8" x14ac:dyDescent="0.25">
      <c r="C59" s="88"/>
      <c r="E59" t="s">
        <v>375</v>
      </c>
      <c r="G59" t="s">
        <v>584</v>
      </c>
      <c r="H59" s="79"/>
    </row>
    <row r="60" spans="3:8" x14ac:dyDescent="0.25">
      <c r="C60" s="88"/>
      <c r="E60" s="37" t="s">
        <v>376</v>
      </c>
      <c r="F60" s="37"/>
      <c r="G60" s="37" t="s">
        <v>584</v>
      </c>
      <c r="H60" s="81"/>
    </row>
    <row r="61" spans="3:8" x14ac:dyDescent="0.25">
      <c r="C61" s="88"/>
      <c r="H61" s="89"/>
    </row>
    <row r="62" spans="3:8" x14ac:dyDescent="0.25">
      <c r="C62" s="88"/>
      <c r="D62" s="32" t="s">
        <v>668</v>
      </c>
      <c r="E62"/>
      <c r="H62" s="89"/>
    </row>
    <row r="63" spans="3:8" x14ac:dyDescent="0.25">
      <c r="C63" s="88"/>
      <c r="E63" s="23" t="s">
        <v>188</v>
      </c>
      <c r="F63" s="23"/>
      <c r="G63" s="23" t="s">
        <v>584</v>
      </c>
      <c r="H63" s="124">
        <f t="array" ref="H63:H72">TRANSPOSE('Unit costs'!J115:S115)</f>
        <v>12.977309793602421</v>
      </c>
    </row>
    <row r="64" spans="3:8" x14ac:dyDescent="0.25">
      <c r="C64" s="88"/>
      <c r="E64" t="s">
        <v>190</v>
      </c>
      <c r="G64" t="s">
        <v>584</v>
      </c>
      <c r="H64" s="120">
        <v>0</v>
      </c>
    </row>
    <row r="65" spans="3:45" x14ac:dyDescent="0.25">
      <c r="C65" s="88"/>
      <c r="E65" t="s">
        <v>191</v>
      </c>
      <c r="G65" t="s">
        <v>584</v>
      </c>
      <c r="H65" s="120">
        <v>0</v>
      </c>
    </row>
    <row r="66" spans="3:45" x14ac:dyDescent="0.25">
      <c r="C66" s="88"/>
      <c r="E66" t="s">
        <v>192</v>
      </c>
      <c r="G66" t="s">
        <v>584</v>
      </c>
      <c r="H66" s="120">
        <v>0</v>
      </c>
    </row>
    <row r="67" spans="3:45" x14ac:dyDescent="0.25">
      <c r="C67" s="88"/>
      <c r="E67" t="s">
        <v>193</v>
      </c>
      <c r="G67" t="s">
        <v>584</v>
      </c>
      <c r="H67" s="120">
        <v>9.2218360722467949</v>
      </c>
    </row>
    <row r="68" spans="3:45" x14ac:dyDescent="0.25">
      <c r="C68" s="88"/>
      <c r="E68" t="s">
        <v>194</v>
      </c>
      <c r="G68" t="s">
        <v>584</v>
      </c>
      <c r="H68" s="120">
        <v>2.3842312910754226</v>
      </c>
    </row>
    <row r="69" spans="3:45" x14ac:dyDescent="0.25">
      <c r="C69" s="88"/>
      <c r="E69" t="s">
        <v>195</v>
      </c>
      <c r="G69" t="s">
        <v>584</v>
      </c>
      <c r="H69" s="120">
        <v>0</v>
      </c>
    </row>
    <row r="70" spans="3:45" x14ac:dyDescent="0.25">
      <c r="C70" s="88"/>
      <c r="E70" t="s">
        <v>196</v>
      </c>
      <c r="G70" t="s">
        <v>584</v>
      </c>
      <c r="H70" s="120">
        <v>10.388660002395246</v>
      </c>
    </row>
    <row r="71" spans="3:45" x14ac:dyDescent="0.25">
      <c r="C71" s="88"/>
      <c r="E71" t="s">
        <v>197</v>
      </c>
      <c r="G71" t="s">
        <v>584</v>
      </c>
      <c r="H71" s="120">
        <v>2.6567708112266732</v>
      </c>
    </row>
    <row r="72" spans="3:45" x14ac:dyDescent="0.25">
      <c r="C72" s="88"/>
      <c r="E72" t="s">
        <v>198</v>
      </c>
      <c r="G72" t="s">
        <v>584</v>
      </c>
      <c r="H72" s="120">
        <v>4.6999159060203253</v>
      </c>
    </row>
    <row r="73" spans="3:45" x14ac:dyDescent="0.25">
      <c r="C73" s="88"/>
      <c r="E73" t="s">
        <v>375</v>
      </c>
      <c r="G73" t="s">
        <v>584</v>
      </c>
      <c r="H73" s="79"/>
    </row>
    <row r="74" spans="3:45" x14ac:dyDescent="0.25">
      <c r="C74" s="88"/>
      <c r="E74" s="37" t="s">
        <v>376</v>
      </c>
      <c r="F74" s="37"/>
      <c r="G74" s="37" t="s">
        <v>584</v>
      </c>
      <c r="H74" s="81"/>
    </row>
    <row r="75" spans="3:45" x14ac:dyDescent="0.25">
      <c r="C75" s="88"/>
      <c r="H75" s="63"/>
    </row>
    <row r="76" spans="3:45" x14ac:dyDescent="0.25">
      <c r="D76" s="88" t="s">
        <v>669</v>
      </c>
    </row>
    <row r="77" spans="3:45" x14ac:dyDescent="0.25">
      <c r="D77" s="29" t="s">
        <v>670</v>
      </c>
      <c r="E77" s="203"/>
    </row>
    <row r="78" spans="3:45" x14ac:dyDescent="0.25">
      <c r="C78" s="88"/>
      <c r="E78" t="s">
        <v>671</v>
      </c>
      <c r="G78" t="s">
        <v>672</v>
      </c>
      <c r="I78" t="s">
        <v>153</v>
      </c>
      <c r="J78" s="169">
        <f>'Fixed inputs'!J138</f>
        <v>0</v>
      </c>
      <c r="K78" s="169">
        <f>'Fixed inputs'!K138</f>
        <v>0</v>
      </c>
      <c r="L78" s="169">
        <f>'Fixed inputs'!L138</f>
        <v>0</v>
      </c>
      <c r="M78" s="169">
        <f>'Fixed inputs'!M138</f>
        <v>0</v>
      </c>
      <c r="N78" s="169">
        <f>'Fixed inputs'!N138</f>
        <v>1</v>
      </c>
      <c r="O78" s="169">
        <f>'Fixed inputs'!O138</f>
        <v>1</v>
      </c>
      <c r="P78" s="169">
        <f>'Fixed inputs'!P138</f>
        <v>1</v>
      </c>
      <c r="Q78" s="169">
        <f>'Fixed inputs'!Q138</f>
        <v>1</v>
      </c>
      <c r="R78" s="169">
        <f>'Fixed inputs'!R138</f>
        <v>1</v>
      </c>
      <c r="S78" s="169">
        <f>'Fixed inputs'!S138</f>
        <v>1</v>
      </c>
      <c r="T78" s="169">
        <f>'Fixed inputs'!T138</f>
        <v>0</v>
      </c>
      <c r="U78" s="169">
        <f>'Fixed inputs'!U138</f>
        <v>0</v>
      </c>
      <c r="V78" s="169">
        <f>'Fixed inputs'!V138</f>
        <v>0</v>
      </c>
      <c r="W78" s="169">
        <f>'Fixed inputs'!W138</f>
        <v>1</v>
      </c>
      <c r="X78" s="169">
        <f>'Fixed inputs'!X138</f>
        <v>0</v>
      </c>
      <c r="Y78" s="169">
        <f>'Fixed inputs'!Y138</f>
        <v>1</v>
      </c>
      <c r="Z78" s="169">
        <f>'Fixed inputs'!Z138</f>
        <v>0</v>
      </c>
      <c r="AA78" s="169">
        <f>'Fixed inputs'!AA138</f>
        <v>1</v>
      </c>
      <c r="AB78" s="169">
        <f>'Fixed inputs'!AB138</f>
        <v>0</v>
      </c>
      <c r="AD78" t="s">
        <v>222</v>
      </c>
    </row>
    <row r="79" spans="3:45" x14ac:dyDescent="0.25">
      <c r="C79" s="88"/>
    </row>
    <row r="80" spans="3:45" x14ac:dyDescent="0.25">
      <c r="D80" s="32" t="s">
        <v>119</v>
      </c>
      <c r="E80"/>
      <c r="H80" s="14"/>
      <c r="J80" s="63"/>
      <c r="K80" s="63"/>
      <c r="L80" s="63"/>
      <c r="M80" s="63"/>
      <c r="N80" s="63"/>
      <c r="O80" s="63"/>
      <c r="P80" s="63"/>
      <c r="Q80" s="63"/>
      <c r="R80" s="63"/>
      <c r="S80" s="63"/>
      <c r="T80" s="63"/>
      <c r="U80" s="63"/>
      <c r="V80" s="63"/>
      <c r="W80" s="63"/>
      <c r="X80" s="63"/>
      <c r="Y80" s="63"/>
      <c r="Z80" s="63"/>
      <c r="AA80" s="63"/>
      <c r="AB80" s="63"/>
      <c r="AS80" s="3"/>
    </row>
    <row r="81" spans="3:45" x14ac:dyDescent="0.25">
      <c r="C81" s="32"/>
      <c r="D81"/>
      <c r="E81" s="23" t="s">
        <v>190</v>
      </c>
      <c r="F81" s="23"/>
      <c r="G81" s="23" t="s">
        <v>166</v>
      </c>
      <c r="H81" s="129"/>
      <c r="I81" s="23"/>
      <c r="J81" s="107">
        <f>'Standing charge factors'!J44</f>
        <v>0</v>
      </c>
      <c r="K81" s="107">
        <f>'Standing charge factors'!K44</f>
        <v>0</v>
      </c>
      <c r="L81" s="107">
        <f>'Standing charge factors'!L44</f>
        <v>0</v>
      </c>
      <c r="M81" s="107">
        <f>'Standing charge factors'!M44</f>
        <v>0</v>
      </c>
      <c r="N81" s="107">
        <f>'Standing charge factors'!N44</f>
        <v>0</v>
      </c>
      <c r="O81" s="107">
        <f>'Standing charge factors'!O44</f>
        <v>0</v>
      </c>
      <c r="P81" s="107">
        <f>'Standing charge factors'!P44</f>
        <v>0</v>
      </c>
      <c r="Q81" s="107">
        <f>'Standing charge factors'!Q44</f>
        <v>0</v>
      </c>
      <c r="R81" s="107">
        <f>'Standing charge factors'!R44</f>
        <v>0</v>
      </c>
      <c r="S81" s="107">
        <f>'Standing charge factors'!S44</f>
        <v>0</v>
      </c>
      <c r="T81" s="107">
        <f>'Standing charge factors'!T44</f>
        <v>0</v>
      </c>
      <c r="U81" s="107">
        <f>'Standing charge factors'!U44</f>
        <v>0</v>
      </c>
      <c r="V81" s="107">
        <f>'Standing charge factors'!V44</f>
        <v>0</v>
      </c>
      <c r="W81" s="107">
        <f>'Standing charge factors'!W44</f>
        <v>0</v>
      </c>
      <c r="X81" s="107">
        <f>'Standing charge factors'!X44</f>
        <v>0</v>
      </c>
      <c r="Y81" s="107">
        <f>'Standing charge factors'!Y44</f>
        <v>0</v>
      </c>
      <c r="Z81" s="107">
        <f>'Standing charge factors'!Z44</f>
        <v>0</v>
      </c>
      <c r="AA81" s="107">
        <f>'Standing charge factors'!AA44</f>
        <v>0</v>
      </c>
      <c r="AB81" s="107">
        <f>'Standing charge factors'!AB44</f>
        <v>0</v>
      </c>
      <c r="AS81" s="3"/>
    </row>
    <row r="82" spans="3:45" x14ac:dyDescent="0.25">
      <c r="C82" s="32"/>
      <c r="D82"/>
      <c r="E82" t="s">
        <v>191</v>
      </c>
      <c r="G82" t="s">
        <v>166</v>
      </c>
      <c r="H82" s="63"/>
      <c r="J82" s="25">
        <f>'Standing charge factors'!J45</f>
        <v>0</v>
      </c>
      <c r="K82" s="25">
        <f>'Standing charge factors'!K45</f>
        <v>0</v>
      </c>
      <c r="L82" s="25">
        <f>'Standing charge factors'!L45</f>
        <v>0</v>
      </c>
      <c r="M82" s="25">
        <f>'Standing charge factors'!M45</f>
        <v>0</v>
      </c>
      <c r="N82" s="25">
        <f>'Standing charge factors'!N45</f>
        <v>0</v>
      </c>
      <c r="O82" s="25">
        <f>'Standing charge factors'!O45</f>
        <v>0</v>
      </c>
      <c r="P82" s="25">
        <f>'Standing charge factors'!P45</f>
        <v>0</v>
      </c>
      <c r="Q82" s="25">
        <f>'Standing charge factors'!Q45</f>
        <v>0</v>
      </c>
      <c r="R82" s="25">
        <f>'Standing charge factors'!R45</f>
        <v>0</v>
      </c>
      <c r="S82" s="25">
        <f>'Standing charge factors'!S45</f>
        <v>0</v>
      </c>
      <c r="T82" s="25">
        <f>'Standing charge factors'!T45</f>
        <v>0</v>
      </c>
      <c r="U82" s="25">
        <f>'Standing charge factors'!U45</f>
        <v>0</v>
      </c>
      <c r="V82" s="25">
        <f>'Standing charge factors'!V45</f>
        <v>0</v>
      </c>
      <c r="W82" s="25">
        <f>'Standing charge factors'!W45</f>
        <v>0</v>
      </c>
      <c r="X82" s="25">
        <f>'Standing charge factors'!X45</f>
        <v>0</v>
      </c>
      <c r="Y82" s="25">
        <f>'Standing charge factors'!Y45</f>
        <v>0</v>
      </c>
      <c r="Z82" s="25">
        <f>'Standing charge factors'!Z45</f>
        <v>0</v>
      </c>
      <c r="AA82" s="25">
        <f>'Standing charge factors'!AA45</f>
        <v>0</v>
      </c>
      <c r="AB82" s="25">
        <f>'Standing charge factors'!AB45</f>
        <v>0</v>
      </c>
      <c r="AS82" s="3"/>
    </row>
    <row r="83" spans="3:45" x14ac:dyDescent="0.25">
      <c r="C83" s="32"/>
      <c r="D83"/>
      <c r="E83" t="s">
        <v>192</v>
      </c>
      <c r="G83" t="s">
        <v>166</v>
      </c>
      <c r="H83" s="63"/>
      <c r="J83" s="25">
        <f>'Standing charge factors'!J46</f>
        <v>0</v>
      </c>
      <c r="K83" s="25">
        <f>'Standing charge factors'!K46</f>
        <v>0</v>
      </c>
      <c r="L83" s="25">
        <f>'Standing charge factors'!L46</f>
        <v>0</v>
      </c>
      <c r="M83" s="25">
        <f>'Standing charge factors'!M46</f>
        <v>0</v>
      </c>
      <c r="N83" s="25">
        <f>'Standing charge factors'!N46</f>
        <v>0</v>
      </c>
      <c r="O83" s="25">
        <f>'Standing charge factors'!O46</f>
        <v>0</v>
      </c>
      <c r="P83" s="25">
        <f>'Standing charge factors'!P46</f>
        <v>0</v>
      </c>
      <c r="Q83" s="25">
        <f>'Standing charge factors'!Q46</f>
        <v>0</v>
      </c>
      <c r="R83" s="25">
        <f>'Standing charge factors'!R46</f>
        <v>0</v>
      </c>
      <c r="S83" s="25">
        <f>'Standing charge factors'!S46</f>
        <v>0</v>
      </c>
      <c r="T83" s="25">
        <f>'Standing charge factors'!T46</f>
        <v>0</v>
      </c>
      <c r="U83" s="25">
        <f>'Standing charge factors'!U46</f>
        <v>0</v>
      </c>
      <c r="V83" s="25">
        <f>'Standing charge factors'!V46</f>
        <v>0</v>
      </c>
      <c r="W83" s="25">
        <f>'Standing charge factors'!W46</f>
        <v>0</v>
      </c>
      <c r="X83" s="25">
        <f>'Standing charge factors'!X46</f>
        <v>0</v>
      </c>
      <c r="Y83" s="25">
        <f>'Standing charge factors'!Y46</f>
        <v>0</v>
      </c>
      <c r="Z83" s="25">
        <f>'Standing charge factors'!Z46</f>
        <v>0</v>
      </c>
      <c r="AA83" s="25">
        <f>'Standing charge factors'!AA46</f>
        <v>0</v>
      </c>
      <c r="AB83" s="25">
        <f>'Standing charge factors'!AB46</f>
        <v>0</v>
      </c>
      <c r="AS83" s="3"/>
    </row>
    <row r="84" spans="3:45" x14ac:dyDescent="0.25">
      <c r="C84" s="32"/>
      <c r="D84"/>
      <c r="E84" t="s">
        <v>193</v>
      </c>
      <c r="G84" t="s">
        <v>166</v>
      </c>
      <c r="H84" s="63"/>
      <c r="J84" s="25">
        <f>'Standing charge factors'!J47</f>
        <v>0</v>
      </c>
      <c r="K84" s="25">
        <f>'Standing charge factors'!K47</f>
        <v>0</v>
      </c>
      <c r="L84" s="25">
        <f>'Standing charge factors'!L47</f>
        <v>0</v>
      </c>
      <c r="M84" s="25">
        <f>'Standing charge factors'!M47</f>
        <v>0</v>
      </c>
      <c r="N84" s="25">
        <f>'Standing charge factors'!N47</f>
        <v>0</v>
      </c>
      <c r="O84" s="25">
        <f>'Standing charge factors'!O47</f>
        <v>0</v>
      </c>
      <c r="P84" s="25">
        <f>'Standing charge factors'!P47</f>
        <v>0.2</v>
      </c>
      <c r="Q84" s="25">
        <f>'Standing charge factors'!Q47</f>
        <v>0</v>
      </c>
      <c r="R84" s="25">
        <f>'Standing charge factors'!R47</f>
        <v>0</v>
      </c>
      <c r="S84" s="25">
        <f>'Standing charge factors'!S47</f>
        <v>0.2</v>
      </c>
      <c r="T84" s="25">
        <f>'Standing charge factors'!T47</f>
        <v>0</v>
      </c>
      <c r="U84" s="25">
        <f>'Standing charge factors'!U47</f>
        <v>0</v>
      </c>
      <c r="V84" s="25">
        <f>'Standing charge factors'!V47</f>
        <v>0</v>
      </c>
      <c r="W84" s="25">
        <f>'Standing charge factors'!W47</f>
        <v>0</v>
      </c>
      <c r="X84" s="25">
        <f>'Standing charge factors'!X47</f>
        <v>0</v>
      </c>
      <c r="Y84" s="25">
        <f>'Standing charge factors'!Y47</f>
        <v>0</v>
      </c>
      <c r="Z84" s="25">
        <f>'Standing charge factors'!Z47</f>
        <v>0</v>
      </c>
      <c r="AA84" s="25">
        <f>'Standing charge factors'!AA47</f>
        <v>0</v>
      </c>
      <c r="AB84" s="25">
        <f>'Standing charge factors'!AB47</f>
        <v>0</v>
      </c>
      <c r="AS84" s="3"/>
    </row>
    <row r="85" spans="3:45" x14ac:dyDescent="0.25">
      <c r="C85" s="32"/>
      <c r="D85"/>
      <c r="E85" t="s">
        <v>194</v>
      </c>
      <c r="G85" t="s">
        <v>166</v>
      </c>
      <c r="H85" s="63"/>
      <c r="J85" s="25">
        <f>'Standing charge factors'!J48</f>
        <v>0</v>
      </c>
      <c r="K85" s="25">
        <f>'Standing charge factors'!K48</f>
        <v>0</v>
      </c>
      <c r="L85" s="25">
        <f>'Standing charge factors'!L48</f>
        <v>0</v>
      </c>
      <c r="M85" s="25">
        <f>'Standing charge factors'!M48</f>
        <v>0</v>
      </c>
      <c r="N85" s="25">
        <f>'Standing charge factors'!N48</f>
        <v>0</v>
      </c>
      <c r="O85" s="25">
        <f>'Standing charge factors'!O48</f>
        <v>0</v>
      </c>
      <c r="P85" s="25">
        <f>'Standing charge factors'!P48</f>
        <v>1</v>
      </c>
      <c r="Q85" s="25">
        <f>'Standing charge factors'!Q48</f>
        <v>0</v>
      </c>
      <c r="R85" s="25">
        <f>'Standing charge factors'!R48</f>
        <v>0</v>
      </c>
      <c r="S85" s="25">
        <f>'Standing charge factors'!S48</f>
        <v>1</v>
      </c>
      <c r="T85" s="25">
        <f>'Standing charge factors'!T48</f>
        <v>0</v>
      </c>
      <c r="U85" s="25">
        <f>'Standing charge factors'!U48</f>
        <v>0</v>
      </c>
      <c r="V85" s="25">
        <f>'Standing charge factors'!V48</f>
        <v>0</v>
      </c>
      <c r="W85" s="25">
        <f>'Standing charge factors'!W48</f>
        <v>0</v>
      </c>
      <c r="X85" s="25">
        <f>'Standing charge factors'!X48</f>
        <v>0</v>
      </c>
      <c r="Y85" s="25">
        <f>'Standing charge factors'!Y48</f>
        <v>0</v>
      </c>
      <c r="Z85" s="25">
        <f>'Standing charge factors'!Z48</f>
        <v>0</v>
      </c>
      <c r="AA85" s="25">
        <f>'Standing charge factors'!AA48</f>
        <v>0</v>
      </c>
      <c r="AB85" s="25">
        <f>'Standing charge factors'!AB48</f>
        <v>0</v>
      </c>
      <c r="AS85" s="3"/>
    </row>
    <row r="86" spans="3:45" x14ac:dyDescent="0.25">
      <c r="C86" s="32"/>
      <c r="D86"/>
      <c r="E86" t="s">
        <v>195</v>
      </c>
      <c r="G86" t="s">
        <v>166</v>
      </c>
      <c r="H86" s="63"/>
      <c r="J86" s="25">
        <f>'Standing charge factors'!J49</f>
        <v>0</v>
      </c>
      <c r="K86" s="25">
        <f>'Standing charge factors'!K49</f>
        <v>0</v>
      </c>
      <c r="L86" s="25">
        <f>'Standing charge factors'!L49</f>
        <v>0</v>
      </c>
      <c r="M86" s="25">
        <f>'Standing charge factors'!M49</f>
        <v>0</v>
      </c>
      <c r="N86" s="25">
        <f>'Standing charge factors'!N49</f>
        <v>0</v>
      </c>
      <c r="O86" s="25">
        <f>'Standing charge factors'!O49</f>
        <v>0</v>
      </c>
      <c r="P86" s="25">
        <f>'Standing charge factors'!P49</f>
        <v>1</v>
      </c>
      <c r="Q86" s="25">
        <f>'Standing charge factors'!Q49</f>
        <v>0</v>
      </c>
      <c r="R86" s="25">
        <f>'Standing charge factors'!R49</f>
        <v>0</v>
      </c>
      <c r="S86" s="25">
        <f>'Standing charge factors'!S49</f>
        <v>1</v>
      </c>
      <c r="T86" s="25">
        <f>'Standing charge factors'!T49</f>
        <v>0</v>
      </c>
      <c r="U86" s="25">
        <f>'Standing charge factors'!U49</f>
        <v>0</v>
      </c>
      <c r="V86" s="25">
        <f>'Standing charge factors'!V49</f>
        <v>0</v>
      </c>
      <c r="W86" s="25">
        <f>'Standing charge factors'!W49</f>
        <v>0</v>
      </c>
      <c r="X86" s="25">
        <f>'Standing charge factors'!X49</f>
        <v>0</v>
      </c>
      <c r="Y86" s="25">
        <f>'Standing charge factors'!Y49</f>
        <v>0</v>
      </c>
      <c r="Z86" s="25">
        <f>'Standing charge factors'!Z49</f>
        <v>0</v>
      </c>
      <c r="AA86" s="25">
        <f>'Standing charge factors'!AA49</f>
        <v>0</v>
      </c>
      <c r="AB86" s="25">
        <f>'Standing charge factors'!AB49</f>
        <v>0</v>
      </c>
      <c r="AS86" s="3"/>
    </row>
    <row r="87" spans="3:45" x14ac:dyDescent="0.25">
      <c r="C87" s="32"/>
      <c r="D87"/>
      <c r="E87" t="s">
        <v>196</v>
      </c>
      <c r="G87" t="s">
        <v>166</v>
      </c>
      <c r="H87" s="63"/>
      <c r="J87" s="25">
        <f>'Standing charge factors'!J50</f>
        <v>0</v>
      </c>
      <c r="K87" s="25">
        <f>'Standing charge factors'!K50</f>
        <v>0</v>
      </c>
      <c r="L87" s="25">
        <f>'Standing charge factors'!L50</f>
        <v>0</v>
      </c>
      <c r="M87" s="25">
        <f>'Standing charge factors'!M50</f>
        <v>0</v>
      </c>
      <c r="N87" s="25">
        <f>'Standing charge factors'!N50</f>
        <v>0.2</v>
      </c>
      <c r="O87" s="25">
        <f>'Standing charge factors'!O50</f>
        <v>1</v>
      </c>
      <c r="P87" s="25">
        <f>'Standing charge factors'!P50</f>
        <v>1</v>
      </c>
      <c r="Q87" s="25">
        <f>'Standing charge factors'!Q50</f>
        <v>0.2</v>
      </c>
      <c r="R87" s="25">
        <f>'Standing charge factors'!R50</f>
        <v>1</v>
      </c>
      <c r="S87" s="25">
        <f>'Standing charge factors'!S50</f>
        <v>1</v>
      </c>
      <c r="T87" s="25">
        <f>'Standing charge factors'!T50</f>
        <v>0</v>
      </c>
      <c r="U87" s="25">
        <f>'Standing charge factors'!U50</f>
        <v>0</v>
      </c>
      <c r="V87" s="25">
        <f>'Standing charge factors'!V50</f>
        <v>0</v>
      </c>
      <c r="W87" s="25">
        <f>'Standing charge factors'!W50</f>
        <v>0</v>
      </c>
      <c r="X87" s="25">
        <f>'Standing charge factors'!X50</f>
        <v>0</v>
      </c>
      <c r="Y87" s="25">
        <f>'Standing charge factors'!Y50</f>
        <v>0</v>
      </c>
      <c r="Z87" s="25">
        <f>'Standing charge factors'!Z50</f>
        <v>0</v>
      </c>
      <c r="AA87" s="25">
        <f>'Standing charge factors'!AA50</f>
        <v>0</v>
      </c>
      <c r="AB87" s="25">
        <f>'Standing charge factors'!AB50</f>
        <v>0</v>
      </c>
      <c r="AS87" s="3"/>
    </row>
    <row r="88" spans="3:45" x14ac:dyDescent="0.25">
      <c r="C88" s="32"/>
      <c r="D88"/>
      <c r="E88" t="s">
        <v>197</v>
      </c>
      <c r="G88" t="s">
        <v>166</v>
      </c>
      <c r="H88" s="63"/>
      <c r="J88" s="25">
        <f>'Standing charge factors'!J51</f>
        <v>0</v>
      </c>
      <c r="K88" s="25">
        <f>'Standing charge factors'!K51</f>
        <v>0</v>
      </c>
      <c r="L88" s="25">
        <f>'Standing charge factors'!L51</f>
        <v>0</v>
      </c>
      <c r="M88" s="25">
        <f>'Standing charge factors'!M51</f>
        <v>0</v>
      </c>
      <c r="N88" s="25">
        <f>'Standing charge factors'!N51</f>
        <v>1</v>
      </c>
      <c r="O88" s="25">
        <f>'Standing charge factors'!O51</f>
        <v>1</v>
      </c>
      <c r="P88" s="25">
        <f>'Standing charge factors'!P51</f>
        <v>0</v>
      </c>
      <c r="Q88" s="25">
        <f>'Standing charge factors'!Q51</f>
        <v>1</v>
      </c>
      <c r="R88" s="25">
        <f>'Standing charge factors'!R51</f>
        <v>1</v>
      </c>
      <c r="S88" s="25">
        <f>'Standing charge factors'!S51</f>
        <v>0</v>
      </c>
      <c r="T88" s="25">
        <f>'Standing charge factors'!T51</f>
        <v>0</v>
      </c>
      <c r="U88" s="25">
        <f>'Standing charge factors'!U51</f>
        <v>0</v>
      </c>
      <c r="V88" s="25">
        <f>'Standing charge factors'!V51</f>
        <v>0</v>
      </c>
      <c r="W88" s="25">
        <f>'Standing charge factors'!W51</f>
        <v>0</v>
      </c>
      <c r="X88" s="25">
        <f>'Standing charge factors'!X51</f>
        <v>0</v>
      </c>
      <c r="Y88" s="25">
        <f>'Standing charge factors'!Y51</f>
        <v>0</v>
      </c>
      <c r="Z88" s="25">
        <f>'Standing charge factors'!Z51</f>
        <v>0</v>
      </c>
      <c r="AA88" s="25">
        <f>'Standing charge factors'!AA51</f>
        <v>0</v>
      </c>
      <c r="AB88" s="25">
        <f>'Standing charge factors'!AB51</f>
        <v>0</v>
      </c>
      <c r="AS88" s="3"/>
    </row>
    <row r="89" spans="3:45" x14ac:dyDescent="0.25">
      <c r="C89" s="32"/>
      <c r="D89"/>
      <c r="E89" s="37" t="s">
        <v>198</v>
      </c>
      <c r="F89" s="37"/>
      <c r="G89" s="37" t="s">
        <v>166</v>
      </c>
      <c r="H89" s="130"/>
      <c r="I89" s="37"/>
      <c r="J89" s="141">
        <f>'Standing charge factors'!J52</f>
        <v>1</v>
      </c>
      <c r="K89" s="141">
        <f>'Standing charge factors'!K52</f>
        <v>1</v>
      </c>
      <c r="L89" s="141">
        <f>'Standing charge factors'!L52</f>
        <v>1</v>
      </c>
      <c r="M89" s="141">
        <f>'Standing charge factors'!M52</f>
        <v>1</v>
      </c>
      <c r="N89" s="141">
        <f>'Standing charge factors'!N52</f>
        <v>1</v>
      </c>
      <c r="O89" s="141">
        <f>'Standing charge factors'!O52</f>
        <v>0</v>
      </c>
      <c r="P89" s="141">
        <f>'Standing charge factors'!P52</f>
        <v>0</v>
      </c>
      <c r="Q89" s="141">
        <f>'Standing charge factors'!Q52</f>
        <v>1</v>
      </c>
      <c r="R89" s="141">
        <f>'Standing charge factors'!R52</f>
        <v>0</v>
      </c>
      <c r="S89" s="141">
        <f>'Standing charge factors'!S52</f>
        <v>0</v>
      </c>
      <c r="T89" s="141">
        <f>'Standing charge factors'!T52</f>
        <v>0</v>
      </c>
      <c r="U89" s="141">
        <f>'Standing charge factors'!U52</f>
        <v>0</v>
      </c>
      <c r="V89" s="141">
        <f>'Standing charge factors'!V52</f>
        <v>0</v>
      </c>
      <c r="W89" s="141">
        <f>'Standing charge factors'!W52</f>
        <v>0</v>
      </c>
      <c r="X89" s="141">
        <f>'Standing charge factors'!X52</f>
        <v>0</v>
      </c>
      <c r="Y89" s="141">
        <f>'Standing charge factors'!Y52</f>
        <v>0</v>
      </c>
      <c r="Z89" s="141">
        <f>'Standing charge factors'!Z52</f>
        <v>0</v>
      </c>
      <c r="AA89" s="141">
        <f>'Standing charge factors'!AA52</f>
        <v>0</v>
      </c>
      <c r="AB89" s="141">
        <f>'Standing charge factors'!AB52</f>
        <v>0</v>
      </c>
      <c r="AS89" s="3"/>
    </row>
    <row r="90" spans="3:45" x14ac:dyDescent="0.25">
      <c r="C90" s="88"/>
    </row>
    <row r="91" spans="3:45" x14ac:dyDescent="0.25">
      <c r="D91" s="32" t="s">
        <v>403</v>
      </c>
      <c r="E91" s="32"/>
      <c r="I91" t="s">
        <v>153</v>
      </c>
      <c r="AD91" t="s">
        <v>673</v>
      </c>
    </row>
    <row r="92" spans="3:45" x14ac:dyDescent="0.25">
      <c r="D92" s="29" t="s">
        <v>400</v>
      </c>
      <c r="E92"/>
      <c r="AD92" s="204"/>
    </row>
    <row r="93" spans="3:45" x14ac:dyDescent="0.25">
      <c r="D93"/>
      <c r="E93" s="23" t="s">
        <v>188</v>
      </c>
      <c r="F93" s="23"/>
      <c r="G93" s="64" t="s">
        <v>282</v>
      </c>
      <c r="H93" s="23"/>
      <c r="I93" s="23"/>
      <c r="J93" s="83"/>
      <c r="K93" s="83"/>
      <c r="L93" s="83"/>
      <c r="M93" s="83"/>
      <c r="N93" s="83"/>
      <c r="O93" s="83"/>
      <c r="P93" s="83"/>
      <c r="Q93" s="83"/>
      <c r="R93" s="83"/>
      <c r="S93" s="83"/>
      <c r="T93" s="83"/>
      <c r="U93" s="124">
        <f t="array" ref="U93:AB102">TRANSPOSE('Load &amp; loss characteristics'!J193:S200)</f>
        <v>-1.0980000000000001</v>
      </c>
      <c r="V93" s="124">
        <v>-1.044</v>
      </c>
      <c r="W93" s="124">
        <v>-1.0980000000000001</v>
      </c>
      <c r="X93" s="124">
        <v>-1.0980000000000001</v>
      </c>
      <c r="Y93" s="124">
        <v>-1.044</v>
      </c>
      <c r="Z93" s="124">
        <v>-1.044</v>
      </c>
      <c r="AA93" s="124">
        <v>-1.026</v>
      </c>
      <c r="AB93" s="124">
        <v>-1.026</v>
      </c>
    </row>
    <row r="94" spans="3:45" x14ac:dyDescent="0.25">
      <c r="D94"/>
      <c r="E94" t="s">
        <v>190</v>
      </c>
      <c r="G94" s="28" t="s">
        <v>282</v>
      </c>
      <c r="J94" s="79"/>
      <c r="K94" s="79"/>
      <c r="L94" s="79"/>
      <c r="M94" s="79"/>
      <c r="N94" s="79"/>
      <c r="O94" s="79"/>
      <c r="P94" s="79"/>
      <c r="Q94" s="79"/>
      <c r="R94" s="79"/>
      <c r="S94" s="79"/>
      <c r="T94" s="79"/>
      <c r="U94" s="120">
        <v>-1.0980000000000001</v>
      </c>
      <c r="V94" s="120">
        <v>-1.044</v>
      </c>
      <c r="W94" s="120">
        <v>-1.0980000000000001</v>
      </c>
      <c r="X94" s="120">
        <v>-1.0980000000000001</v>
      </c>
      <c r="Y94" s="120">
        <v>-1.044</v>
      </c>
      <c r="Z94" s="120">
        <v>-1.044</v>
      </c>
      <c r="AA94" s="120">
        <v>-1.026</v>
      </c>
      <c r="AB94" s="120">
        <v>-1.026</v>
      </c>
    </row>
    <row r="95" spans="3:45" x14ac:dyDescent="0.25">
      <c r="D95"/>
      <c r="E95" t="s">
        <v>191</v>
      </c>
      <c r="G95" s="28" t="s">
        <v>282</v>
      </c>
      <c r="J95" s="79"/>
      <c r="K95" s="79"/>
      <c r="L95" s="79"/>
      <c r="M95" s="79"/>
      <c r="N95" s="79"/>
      <c r="O95" s="79"/>
      <c r="P95" s="79"/>
      <c r="Q95" s="79"/>
      <c r="R95" s="79"/>
      <c r="S95" s="79"/>
      <c r="T95" s="79"/>
      <c r="U95" s="120">
        <v>-1.0980000000000001</v>
      </c>
      <c r="V95" s="120">
        <v>-1.044</v>
      </c>
      <c r="W95" s="120">
        <v>-1.0980000000000001</v>
      </c>
      <c r="X95" s="120">
        <v>-1.0980000000000001</v>
      </c>
      <c r="Y95" s="120">
        <v>-1.044</v>
      </c>
      <c r="Z95" s="120">
        <v>-1.044</v>
      </c>
      <c r="AA95" s="120">
        <v>-1.026</v>
      </c>
      <c r="AB95" s="120">
        <v>-1.026</v>
      </c>
    </row>
    <row r="96" spans="3:45" x14ac:dyDescent="0.25">
      <c r="D96"/>
      <c r="E96" t="s">
        <v>192</v>
      </c>
      <c r="G96" s="28" t="s">
        <v>282</v>
      </c>
      <c r="J96" s="79"/>
      <c r="K96" s="79"/>
      <c r="L96" s="79"/>
      <c r="M96" s="79"/>
      <c r="N96" s="79"/>
      <c r="O96" s="79"/>
      <c r="P96" s="79"/>
      <c r="Q96" s="79"/>
      <c r="R96" s="79"/>
      <c r="S96" s="79"/>
      <c r="T96" s="79"/>
      <c r="U96" s="120">
        <v>-1.0980000000000001</v>
      </c>
      <c r="V96" s="120">
        <v>-1.044</v>
      </c>
      <c r="W96" s="120">
        <v>-1.0980000000000001</v>
      </c>
      <c r="X96" s="120">
        <v>-1.0980000000000001</v>
      </c>
      <c r="Y96" s="120">
        <v>-1.044</v>
      </c>
      <c r="Z96" s="120">
        <v>-1.044</v>
      </c>
      <c r="AA96" s="120">
        <v>-1.026</v>
      </c>
      <c r="AB96" s="120">
        <v>-1.026</v>
      </c>
    </row>
    <row r="97" spans="3:28" x14ac:dyDescent="0.25">
      <c r="D97"/>
      <c r="E97" t="s">
        <v>193</v>
      </c>
      <c r="G97" s="28" t="s">
        <v>282</v>
      </c>
      <c r="J97" s="79"/>
      <c r="K97" s="79"/>
      <c r="L97" s="79"/>
      <c r="M97" s="79"/>
      <c r="N97" s="79"/>
      <c r="O97" s="79"/>
      <c r="P97" s="79"/>
      <c r="Q97" s="79"/>
      <c r="R97" s="79"/>
      <c r="S97" s="79"/>
      <c r="T97" s="79"/>
      <c r="U97" s="120">
        <v>-1.0980000000000001</v>
      </c>
      <c r="V97" s="120">
        <v>-1.044</v>
      </c>
      <c r="W97" s="120">
        <v>-1.0980000000000001</v>
      </c>
      <c r="X97" s="120">
        <v>-1.0980000000000001</v>
      </c>
      <c r="Y97" s="120">
        <v>-1.044</v>
      </c>
      <c r="Z97" s="120">
        <v>-1.044</v>
      </c>
      <c r="AA97" s="120">
        <v>-1.026</v>
      </c>
      <c r="AB97" s="120">
        <v>-1.026</v>
      </c>
    </row>
    <row r="98" spans="3:28" x14ac:dyDescent="0.25">
      <c r="D98"/>
      <c r="E98" t="s">
        <v>194</v>
      </c>
      <c r="G98" s="28" t="s">
        <v>282</v>
      </c>
      <c r="J98" s="79"/>
      <c r="K98" s="79"/>
      <c r="L98" s="79"/>
      <c r="M98" s="79"/>
      <c r="N98" s="79"/>
      <c r="O98" s="79"/>
      <c r="P98" s="79"/>
      <c r="Q98" s="79"/>
      <c r="R98" s="79"/>
      <c r="S98" s="79"/>
      <c r="T98" s="79"/>
      <c r="U98" s="120">
        <v>-1.0980000000000001</v>
      </c>
      <c r="V98" s="120">
        <v>-1.044</v>
      </c>
      <c r="W98" s="120">
        <v>-1.0980000000000001</v>
      </c>
      <c r="X98" s="120">
        <v>-1.0980000000000001</v>
      </c>
      <c r="Y98" s="120">
        <v>-1.044</v>
      </c>
      <c r="Z98" s="120">
        <v>-1.044</v>
      </c>
      <c r="AA98" s="120">
        <v>-1.026</v>
      </c>
      <c r="AB98" s="120">
        <v>-1.026</v>
      </c>
    </row>
    <row r="99" spans="3:28" x14ac:dyDescent="0.25">
      <c r="D99"/>
      <c r="E99" t="s">
        <v>195</v>
      </c>
      <c r="G99" s="28" t="s">
        <v>282</v>
      </c>
      <c r="J99" s="79"/>
      <c r="K99" s="79"/>
      <c r="L99" s="79"/>
      <c r="M99" s="79"/>
      <c r="N99" s="79"/>
      <c r="O99" s="79"/>
      <c r="P99" s="79"/>
      <c r="Q99" s="79"/>
      <c r="R99" s="79"/>
      <c r="S99" s="79"/>
      <c r="T99" s="79"/>
      <c r="U99" s="120">
        <v>0</v>
      </c>
      <c r="V99" s="120">
        <v>0</v>
      </c>
      <c r="W99" s="120">
        <v>0</v>
      </c>
      <c r="X99" s="120">
        <v>0</v>
      </c>
      <c r="Y99" s="120">
        <v>0</v>
      </c>
      <c r="Z99" s="120">
        <v>0</v>
      </c>
      <c r="AA99" s="120">
        <v>0</v>
      </c>
      <c r="AB99" s="120">
        <v>0</v>
      </c>
    </row>
    <row r="100" spans="3:28" x14ac:dyDescent="0.25">
      <c r="D100"/>
      <c r="E100" t="s">
        <v>196</v>
      </c>
      <c r="G100" s="28" t="s">
        <v>282</v>
      </c>
      <c r="J100" s="79"/>
      <c r="K100" s="79"/>
      <c r="L100" s="79"/>
      <c r="M100" s="79"/>
      <c r="N100" s="79"/>
      <c r="O100" s="79"/>
      <c r="P100" s="79"/>
      <c r="Q100" s="79"/>
      <c r="R100" s="79"/>
      <c r="S100" s="79"/>
      <c r="T100" s="79"/>
      <c r="U100" s="120">
        <v>-1.0980000000000001</v>
      </c>
      <c r="V100" s="120">
        <v>-1.044</v>
      </c>
      <c r="W100" s="120">
        <v>-1.0980000000000001</v>
      </c>
      <c r="X100" s="120">
        <v>-1.0980000000000001</v>
      </c>
      <c r="Y100" s="120">
        <v>-1.044</v>
      </c>
      <c r="Z100" s="120">
        <v>-1.044</v>
      </c>
      <c r="AA100" s="120">
        <v>-1.026</v>
      </c>
      <c r="AB100" s="120">
        <v>-1.026</v>
      </c>
    </row>
    <row r="101" spans="3:28" x14ac:dyDescent="0.25">
      <c r="D101"/>
      <c r="E101" t="s">
        <v>197</v>
      </c>
      <c r="G101" s="28" t="s">
        <v>282</v>
      </c>
      <c r="J101" s="79"/>
      <c r="K101" s="79"/>
      <c r="L101" s="79"/>
      <c r="M101" s="79"/>
      <c r="N101" s="79"/>
      <c r="O101" s="79"/>
      <c r="P101" s="79"/>
      <c r="Q101" s="79"/>
      <c r="R101" s="79"/>
      <c r="S101" s="79"/>
      <c r="T101" s="79"/>
      <c r="U101" s="120">
        <v>-1.0980000000000001</v>
      </c>
      <c r="V101" s="120">
        <v>-1.044</v>
      </c>
      <c r="W101" s="120">
        <v>-1.0980000000000001</v>
      </c>
      <c r="X101" s="120">
        <v>-1.0980000000000001</v>
      </c>
      <c r="Y101" s="120">
        <v>-1.044</v>
      </c>
      <c r="Z101" s="120">
        <v>-1.044</v>
      </c>
      <c r="AA101" s="120">
        <v>0</v>
      </c>
      <c r="AB101" s="120">
        <v>0</v>
      </c>
    </row>
    <row r="102" spans="3:28" x14ac:dyDescent="0.25">
      <c r="D102"/>
      <c r="E102" t="s">
        <v>198</v>
      </c>
      <c r="G102" s="28" t="s">
        <v>282</v>
      </c>
      <c r="J102" s="79"/>
      <c r="K102" s="79"/>
      <c r="L102" s="79"/>
      <c r="M102" s="79"/>
      <c r="N102" s="79"/>
      <c r="O102" s="79"/>
      <c r="P102" s="79"/>
      <c r="Q102" s="79"/>
      <c r="R102" s="79"/>
      <c r="S102" s="79"/>
      <c r="T102" s="79"/>
      <c r="U102" s="120">
        <v>-1.0980000000000001</v>
      </c>
      <c r="V102" s="120">
        <v>0</v>
      </c>
      <c r="W102" s="120">
        <v>-1.0980000000000001</v>
      </c>
      <c r="X102" s="120">
        <v>-1.0980000000000001</v>
      </c>
      <c r="Y102" s="120">
        <v>0</v>
      </c>
      <c r="Z102" s="120">
        <v>0</v>
      </c>
      <c r="AA102" s="120">
        <v>0</v>
      </c>
      <c r="AB102" s="120">
        <v>0</v>
      </c>
    </row>
    <row r="103" spans="3:28" x14ac:dyDescent="0.25">
      <c r="D103"/>
      <c r="E103" t="s">
        <v>375</v>
      </c>
      <c r="G103" s="28" t="s">
        <v>282</v>
      </c>
      <c r="J103" s="79"/>
      <c r="K103" s="79"/>
      <c r="L103" s="79"/>
      <c r="M103" s="79"/>
      <c r="N103" s="79"/>
      <c r="O103" s="79"/>
      <c r="P103" s="79"/>
      <c r="Q103" s="79"/>
      <c r="R103" s="79"/>
      <c r="S103" s="79"/>
      <c r="T103" s="79"/>
      <c r="U103" s="79"/>
      <c r="V103" s="79"/>
      <c r="W103" s="79"/>
      <c r="X103" s="79"/>
      <c r="Y103" s="79"/>
      <c r="Z103" s="79"/>
      <c r="AA103" s="79"/>
      <c r="AB103" s="79"/>
    </row>
    <row r="104" spans="3:28" x14ac:dyDescent="0.25">
      <c r="D104"/>
      <c r="E104" s="37" t="s">
        <v>376</v>
      </c>
      <c r="F104" s="37"/>
      <c r="G104" s="67" t="s">
        <v>282</v>
      </c>
      <c r="H104" s="37"/>
      <c r="I104" s="37"/>
      <c r="J104" s="81"/>
      <c r="K104" s="81"/>
      <c r="L104" s="81"/>
      <c r="M104" s="81"/>
      <c r="N104" s="81"/>
      <c r="O104" s="81"/>
      <c r="P104" s="81"/>
      <c r="Q104" s="81"/>
      <c r="R104" s="81"/>
      <c r="S104" s="81"/>
      <c r="T104" s="81"/>
      <c r="U104" s="81"/>
      <c r="V104" s="81"/>
      <c r="W104" s="81"/>
      <c r="X104" s="81"/>
      <c r="Y104" s="81"/>
      <c r="Z104" s="81"/>
      <c r="AA104" s="81"/>
      <c r="AB104" s="81"/>
    </row>
    <row r="105" spans="3:28" x14ac:dyDescent="0.25">
      <c r="C105" s="88"/>
    </row>
    <row r="106" spans="3:28" x14ac:dyDescent="0.25">
      <c r="D106" s="32" t="s">
        <v>415</v>
      </c>
      <c r="E106"/>
    </row>
    <row r="107" spans="3:28" x14ac:dyDescent="0.25">
      <c r="C107" s="88"/>
      <c r="E107" s="23" t="s">
        <v>188</v>
      </c>
      <c r="F107" s="23"/>
      <c r="G107" s="23" t="s">
        <v>166</v>
      </c>
      <c r="H107" s="23"/>
      <c r="I107" s="23"/>
      <c r="J107" s="65"/>
      <c r="K107" s="65"/>
      <c r="L107" s="65"/>
      <c r="M107" s="65"/>
      <c r="N107" s="65"/>
      <c r="O107" s="65"/>
      <c r="P107" s="65"/>
      <c r="Q107" s="65"/>
      <c r="R107" s="65"/>
      <c r="S107" s="65"/>
      <c r="T107" s="65"/>
      <c r="U107" s="65"/>
      <c r="V107" s="65"/>
      <c r="W107" s="65"/>
      <c r="X107" s="65"/>
      <c r="Y107" s="65"/>
      <c r="Z107" s="65"/>
      <c r="AA107" s="65"/>
      <c r="AB107" s="65"/>
    </row>
    <row r="108" spans="3:28" x14ac:dyDescent="0.25">
      <c r="C108" s="88"/>
      <c r="E108" t="s">
        <v>190</v>
      </c>
      <c r="G108" t="s">
        <v>166</v>
      </c>
      <c r="J108" s="66"/>
      <c r="K108" s="66"/>
      <c r="L108" s="66"/>
      <c r="M108" s="66"/>
      <c r="N108" s="66"/>
      <c r="O108" s="66"/>
      <c r="P108" s="66"/>
      <c r="Q108" s="66"/>
      <c r="R108" s="66"/>
      <c r="S108" s="66"/>
      <c r="T108" s="66"/>
      <c r="U108" s="66"/>
      <c r="V108" s="66"/>
      <c r="W108" s="66"/>
      <c r="X108" s="66"/>
      <c r="Y108" s="66"/>
      <c r="Z108" s="66"/>
      <c r="AA108" s="66"/>
      <c r="AB108" s="66"/>
    </row>
    <row r="109" spans="3:28" x14ac:dyDescent="0.25">
      <c r="C109" s="88"/>
      <c r="E109" t="s">
        <v>191</v>
      </c>
      <c r="G109" t="s">
        <v>166</v>
      </c>
      <c r="J109" s="25">
        <f t="array" ref="J109:AB116">TRANSPOSE('Customer contributions'!L54:S72)</f>
        <v>0</v>
      </c>
      <c r="K109" s="25">
        <v>0</v>
      </c>
      <c r="L109" s="25">
        <v>0</v>
      </c>
      <c r="M109" s="25">
        <v>0</v>
      </c>
      <c r="N109" s="25">
        <v>0</v>
      </c>
      <c r="O109" s="25">
        <v>0</v>
      </c>
      <c r="P109" s="25">
        <v>0</v>
      </c>
      <c r="Q109" s="25">
        <v>0</v>
      </c>
      <c r="R109" s="25">
        <v>0</v>
      </c>
      <c r="S109" s="25">
        <v>0</v>
      </c>
      <c r="T109" s="25">
        <v>0</v>
      </c>
      <c r="U109" s="25">
        <v>0</v>
      </c>
      <c r="V109" s="25">
        <v>0</v>
      </c>
      <c r="W109" s="25">
        <v>0</v>
      </c>
      <c r="X109" s="25">
        <v>0</v>
      </c>
      <c r="Y109" s="25">
        <v>0</v>
      </c>
      <c r="Z109" s="25">
        <v>0</v>
      </c>
      <c r="AA109" s="25">
        <v>0</v>
      </c>
      <c r="AB109" s="25">
        <v>0</v>
      </c>
    </row>
    <row r="110" spans="3:28" x14ac:dyDescent="0.25">
      <c r="C110" s="88"/>
      <c r="E110" t="s">
        <v>192</v>
      </c>
      <c r="G110" t="s">
        <v>166</v>
      </c>
      <c r="J110" s="25">
        <v>0</v>
      </c>
      <c r="K110" s="25">
        <v>0</v>
      </c>
      <c r="L110" s="25">
        <v>0</v>
      </c>
      <c r="M110" s="25">
        <v>0</v>
      </c>
      <c r="N110" s="25">
        <v>0</v>
      </c>
      <c r="O110" s="25">
        <v>0</v>
      </c>
      <c r="P110" s="25">
        <v>0</v>
      </c>
      <c r="Q110" s="25">
        <v>0</v>
      </c>
      <c r="R110" s="25">
        <v>0</v>
      </c>
      <c r="S110" s="25">
        <v>0</v>
      </c>
      <c r="T110" s="25">
        <v>0</v>
      </c>
      <c r="U110" s="25">
        <v>0</v>
      </c>
      <c r="V110" s="25">
        <v>0</v>
      </c>
      <c r="W110" s="25">
        <v>0</v>
      </c>
      <c r="X110" s="25">
        <v>0</v>
      </c>
      <c r="Y110" s="25">
        <v>0</v>
      </c>
      <c r="Z110" s="25">
        <v>0</v>
      </c>
      <c r="AA110" s="25">
        <v>0</v>
      </c>
      <c r="AB110" s="25">
        <v>0</v>
      </c>
    </row>
    <row r="111" spans="3:28" x14ac:dyDescent="0.25">
      <c r="C111" s="88"/>
      <c r="E111" t="s">
        <v>193</v>
      </c>
      <c r="G111" t="s">
        <v>166</v>
      </c>
      <c r="J111" s="25">
        <v>0</v>
      </c>
      <c r="K111" s="25">
        <v>0</v>
      </c>
      <c r="L111" s="25">
        <v>0</v>
      </c>
      <c r="M111" s="25">
        <v>0</v>
      </c>
      <c r="N111" s="25">
        <v>0</v>
      </c>
      <c r="O111" s="25">
        <v>0</v>
      </c>
      <c r="P111" s="25">
        <v>3.11004784688995E-2</v>
      </c>
      <c r="Q111" s="25">
        <v>0</v>
      </c>
      <c r="R111" s="25">
        <v>0</v>
      </c>
      <c r="S111" s="25">
        <v>3.11004784688995E-2</v>
      </c>
      <c r="T111" s="25">
        <v>0</v>
      </c>
      <c r="U111" s="25">
        <v>0</v>
      </c>
      <c r="V111" s="25">
        <v>0</v>
      </c>
      <c r="W111" s="25">
        <v>0</v>
      </c>
      <c r="X111" s="25">
        <v>0</v>
      </c>
      <c r="Y111" s="25">
        <v>0</v>
      </c>
      <c r="Z111" s="25">
        <v>0</v>
      </c>
      <c r="AA111" s="25">
        <v>3.11004784688995E-2</v>
      </c>
      <c r="AB111" s="25">
        <v>3.11004784688995E-2</v>
      </c>
    </row>
    <row r="112" spans="3:28" x14ac:dyDescent="0.25">
      <c r="C112" s="88"/>
      <c r="E112" t="s">
        <v>194</v>
      </c>
      <c r="G112" t="s">
        <v>166</v>
      </c>
      <c r="J112" s="25">
        <v>0</v>
      </c>
      <c r="K112" s="25">
        <v>0</v>
      </c>
      <c r="L112" s="25">
        <v>0</v>
      </c>
      <c r="M112" s="25">
        <v>0</v>
      </c>
      <c r="N112" s="25">
        <v>0</v>
      </c>
      <c r="O112" s="25">
        <v>0</v>
      </c>
      <c r="P112" s="25">
        <v>0.14212259371833799</v>
      </c>
      <c r="Q112" s="25">
        <v>0</v>
      </c>
      <c r="R112" s="25">
        <v>0</v>
      </c>
      <c r="S112" s="25">
        <v>0.14212259371833799</v>
      </c>
      <c r="T112" s="25">
        <v>0</v>
      </c>
      <c r="U112" s="25">
        <v>0</v>
      </c>
      <c r="V112" s="25">
        <v>0</v>
      </c>
      <c r="W112" s="25">
        <v>0</v>
      </c>
      <c r="X112" s="25">
        <v>0</v>
      </c>
      <c r="Y112" s="25">
        <v>0</v>
      </c>
      <c r="Z112" s="25">
        <v>0</v>
      </c>
      <c r="AA112" s="25">
        <v>0.14212259371833799</v>
      </c>
      <c r="AB112" s="25">
        <v>0.14212259371833799</v>
      </c>
    </row>
    <row r="113" spans="3:30" x14ac:dyDescent="0.25">
      <c r="C113" s="88"/>
      <c r="E113" t="s">
        <v>195</v>
      </c>
      <c r="G113" t="s">
        <v>166</v>
      </c>
      <c r="J113" s="25">
        <v>0</v>
      </c>
      <c r="K113" s="25">
        <v>0</v>
      </c>
      <c r="L113" s="25">
        <v>0</v>
      </c>
      <c r="M113" s="25">
        <v>0</v>
      </c>
      <c r="N113" s="25">
        <v>0</v>
      </c>
      <c r="O113" s="25">
        <v>0</v>
      </c>
      <c r="P113" s="25">
        <v>0</v>
      </c>
      <c r="Q113" s="25">
        <v>0</v>
      </c>
      <c r="R113" s="25">
        <v>0</v>
      </c>
      <c r="S113" s="25">
        <v>0</v>
      </c>
      <c r="T113" s="25">
        <v>0</v>
      </c>
      <c r="U113" s="25">
        <v>0</v>
      </c>
      <c r="V113" s="25">
        <v>0</v>
      </c>
      <c r="W113" s="25">
        <v>0</v>
      </c>
      <c r="X113" s="25">
        <v>0</v>
      </c>
      <c r="Y113" s="25">
        <v>0</v>
      </c>
      <c r="Z113" s="25">
        <v>0</v>
      </c>
      <c r="AA113" s="25">
        <v>0</v>
      </c>
      <c r="AB113" s="25">
        <v>0</v>
      </c>
    </row>
    <row r="114" spans="3:30" x14ac:dyDescent="0.25">
      <c r="C114" s="88"/>
      <c r="E114" t="s">
        <v>196</v>
      </c>
      <c r="G114" t="s">
        <v>166</v>
      </c>
      <c r="J114" s="25">
        <v>0.20065197841726601</v>
      </c>
      <c r="K114" s="25">
        <v>0.20065197841726601</v>
      </c>
      <c r="L114" s="25">
        <v>0.20065197841726601</v>
      </c>
      <c r="M114" s="25">
        <v>0.20065197841726601</v>
      </c>
      <c r="N114" s="25">
        <v>0.20065197841726601</v>
      </c>
      <c r="O114" s="25">
        <v>0.20065197841726601</v>
      </c>
      <c r="P114" s="25">
        <v>0.45146695143884902</v>
      </c>
      <c r="Q114" s="25">
        <v>0.20065197841726601</v>
      </c>
      <c r="R114" s="25">
        <v>0.20065197841726601</v>
      </c>
      <c r="S114" s="25">
        <v>0.45146695143884902</v>
      </c>
      <c r="T114" s="25">
        <v>0.20065197841726601</v>
      </c>
      <c r="U114" s="25">
        <v>0.20065197841726601</v>
      </c>
      <c r="V114" s="25">
        <v>0.20065197841726601</v>
      </c>
      <c r="W114" s="25">
        <v>0.20065197841726601</v>
      </c>
      <c r="X114" s="25">
        <v>0.20065197841726601</v>
      </c>
      <c r="Y114" s="25">
        <v>0.20065197841726601</v>
      </c>
      <c r="Z114" s="25">
        <v>0.20065197841726601</v>
      </c>
      <c r="AA114" s="25">
        <v>0.45146695143884902</v>
      </c>
      <c r="AB114" s="25">
        <v>0.45146695143884902</v>
      </c>
    </row>
    <row r="115" spans="3:30" x14ac:dyDescent="0.25">
      <c r="C115" s="88"/>
      <c r="E115" t="s">
        <v>197</v>
      </c>
      <c r="G115" t="s">
        <v>166</v>
      </c>
      <c r="J115" s="25">
        <v>0.26968503937007898</v>
      </c>
      <c r="K115" s="25">
        <v>0.26968503937007898</v>
      </c>
      <c r="L115" s="25">
        <v>0.26968503937007898</v>
      </c>
      <c r="M115" s="25">
        <v>0.26968503937007898</v>
      </c>
      <c r="N115" s="25">
        <v>0.26968503937007898</v>
      </c>
      <c r="O115" s="25">
        <v>0.26968503937007898</v>
      </c>
      <c r="P115" s="25">
        <v>0</v>
      </c>
      <c r="Q115" s="25">
        <v>0.26968503937007898</v>
      </c>
      <c r="R115" s="25">
        <v>0.26968503937007898</v>
      </c>
      <c r="S115" s="25">
        <v>0</v>
      </c>
      <c r="T115" s="25">
        <v>0.26968503937007898</v>
      </c>
      <c r="U115" s="25">
        <v>0.26968503937007898</v>
      </c>
      <c r="V115" s="25">
        <v>0.26968503937007898</v>
      </c>
      <c r="W115" s="25">
        <v>0.26968503937007898</v>
      </c>
      <c r="X115" s="25">
        <v>0.26968503937007898</v>
      </c>
      <c r="Y115" s="25">
        <v>0.26968503937007898</v>
      </c>
      <c r="Z115" s="25">
        <v>0.26968503937007898</v>
      </c>
      <c r="AA115" s="25">
        <v>0</v>
      </c>
      <c r="AB115" s="25">
        <v>0</v>
      </c>
    </row>
    <row r="116" spans="3:30" x14ac:dyDescent="0.25">
      <c r="C116" s="88"/>
      <c r="E116" t="s">
        <v>198</v>
      </c>
      <c r="G116" t="s">
        <v>166</v>
      </c>
      <c r="J116" s="25">
        <v>0.92371773930088197</v>
      </c>
      <c r="K116" s="25">
        <v>0.92371773930088197</v>
      </c>
      <c r="L116" s="25">
        <v>0.92371773930088197</v>
      </c>
      <c r="M116" s="25">
        <v>0.92371773930088197</v>
      </c>
      <c r="N116" s="25">
        <v>0.92371773930088197</v>
      </c>
      <c r="O116" s="25">
        <v>0</v>
      </c>
      <c r="P116" s="25">
        <v>0</v>
      </c>
      <c r="Q116" s="25">
        <v>0.92371773930088197</v>
      </c>
      <c r="R116" s="25">
        <v>0</v>
      </c>
      <c r="S116" s="25">
        <v>0</v>
      </c>
      <c r="T116" s="25">
        <v>0.92371773930088197</v>
      </c>
      <c r="U116" s="25">
        <v>0.92371773930088197</v>
      </c>
      <c r="V116" s="25">
        <v>0</v>
      </c>
      <c r="W116" s="25">
        <v>0.92371773930088197</v>
      </c>
      <c r="X116" s="25">
        <v>0.92371773930088197</v>
      </c>
      <c r="Y116" s="25">
        <v>0</v>
      </c>
      <c r="Z116" s="25">
        <v>0</v>
      </c>
      <c r="AA116" s="25">
        <v>0</v>
      </c>
      <c r="AB116" s="25">
        <v>0</v>
      </c>
    </row>
    <row r="117" spans="3:30" x14ac:dyDescent="0.25">
      <c r="C117" s="88"/>
      <c r="E117" t="s">
        <v>375</v>
      </c>
      <c r="G117" t="s">
        <v>166</v>
      </c>
      <c r="J117" s="66"/>
      <c r="K117" s="66"/>
      <c r="L117" s="66"/>
      <c r="M117" s="66"/>
      <c r="N117" s="66"/>
      <c r="O117" s="66"/>
      <c r="P117" s="66"/>
      <c r="Q117" s="66"/>
      <c r="R117" s="66"/>
      <c r="S117" s="66"/>
      <c r="T117" s="66"/>
      <c r="U117" s="66"/>
      <c r="V117" s="66"/>
      <c r="W117" s="66"/>
      <c r="X117" s="66"/>
      <c r="Y117" s="66"/>
      <c r="Z117" s="66"/>
      <c r="AA117" s="66"/>
      <c r="AB117" s="66"/>
    </row>
    <row r="118" spans="3:30" x14ac:dyDescent="0.25">
      <c r="C118" s="88"/>
      <c r="E118" s="37" t="s">
        <v>376</v>
      </c>
      <c r="F118" s="37"/>
      <c r="G118" s="37" t="s">
        <v>166</v>
      </c>
      <c r="H118" s="37"/>
      <c r="I118" s="37"/>
      <c r="J118" s="68"/>
      <c r="K118" s="68"/>
      <c r="L118" s="68"/>
      <c r="M118" s="68"/>
      <c r="N118" s="68"/>
      <c r="O118" s="68"/>
      <c r="P118" s="68"/>
      <c r="Q118" s="68"/>
      <c r="R118" s="68"/>
      <c r="S118" s="68"/>
      <c r="T118" s="68"/>
      <c r="U118" s="68"/>
      <c r="V118" s="68"/>
      <c r="W118" s="68"/>
      <c r="X118" s="68"/>
      <c r="Y118" s="68"/>
      <c r="Z118" s="68"/>
      <c r="AA118" s="68"/>
      <c r="AB118" s="68"/>
    </row>
    <row r="120" spans="3:30" x14ac:dyDescent="0.25">
      <c r="C120" s="31" t="str">
        <f ca="1">INDEX('Version control'!$H$34:$H$57,MATCH($A$1,'Version control'!$F$34:$F$57,0),1)&amp;"-B: Yardstick charge (demand)"</f>
        <v>Section 112-B: Yardstick charge (demand)</v>
      </c>
      <c r="D120" s="31"/>
      <c r="E120" s="31"/>
      <c r="F120" s="31"/>
      <c r="G120" s="31"/>
      <c r="H120" s="31"/>
      <c r="I120" s="31"/>
      <c r="J120" s="31"/>
      <c r="K120" s="31"/>
      <c r="L120" s="31"/>
      <c r="M120" s="31"/>
      <c r="N120" s="31"/>
      <c r="O120" s="31"/>
      <c r="P120" s="31"/>
      <c r="Q120" s="31"/>
      <c r="R120" s="31"/>
      <c r="S120" s="31"/>
      <c r="T120" s="31"/>
      <c r="U120" s="31"/>
      <c r="V120" s="31"/>
      <c r="W120" s="31"/>
      <c r="X120" s="31"/>
      <c r="Y120" s="31"/>
      <c r="Z120" s="31"/>
      <c r="AA120" s="31"/>
      <c r="AB120" s="31"/>
      <c r="AC120" s="31"/>
      <c r="AD120" s="31"/>
    </row>
    <row r="121" spans="3:30" x14ac:dyDescent="0.25">
      <c r="C121" s="32"/>
      <c r="D121"/>
      <c r="E121" s="32"/>
    </row>
    <row r="122" spans="3:30" x14ac:dyDescent="0.25">
      <c r="D122" s="32" t="s">
        <v>620</v>
      </c>
      <c r="E122"/>
    </row>
    <row r="123" spans="3:30" x14ac:dyDescent="0.25">
      <c r="E123" s="23" t="s">
        <v>188</v>
      </c>
      <c r="F123" s="23"/>
      <c r="G123" s="23" t="s">
        <v>268</v>
      </c>
      <c r="H123" s="269"/>
      <c r="I123" s="269"/>
      <c r="J123" s="287"/>
      <c r="K123" s="287"/>
      <c r="L123" s="287"/>
      <c r="M123" s="287"/>
      <c r="N123" s="287"/>
      <c r="O123" s="287"/>
      <c r="P123" s="287"/>
      <c r="Q123" s="287"/>
      <c r="R123" s="287"/>
      <c r="S123" s="287"/>
      <c r="T123" s="287"/>
      <c r="U123" s="287"/>
      <c r="V123" s="287"/>
      <c r="W123" s="287"/>
      <c r="X123" s="287"/>
      <c r="Y123" s="287"/>
      <c r="Z123" s="287"/>
      <c r="AA123" s="287"/>
      <c r="AB123" s="287"/>
      <c r="AC123" s="271"/>
      <c r="AD123" s="271"/>
    </row>
    <row r="124" spans="3:30" x14ac:dyDescent="0.25">
      <c r="E124" t="s">
        <v>190</v>
      </c>
      <c r="G124" t="s">
        <v>268</v>
      </c>
      <c r="H124" s="271"/>
      <c r="I124" s="271"/>
      <c r="J124" s="272"/>
      <c r="K124" s="272"/>
      <c r="L124" s="272"/>
      <c r="M124" s="272"/>
      <c r="N124" s="272"/>
      <c r="O124" s="272"/>
      <c r="P124" s="272"/>
      <c r="Q124" s="272"/>
      <c r="R124" s="272"/>
      <c r="S124" s="272"/>
      <c r="T124" s="272"/>
      <c r="U124" s="272"/>
      <c r="V124" s="272"/>
      <c r="W124" s="272"/>
      <c r="X124" s="272"/>
      <c r="Y124" s="272"/>
      <c r="Z124" s="272"/>
      <c r="AA124" s="272"/>
      <c r="AB124" s="272"/>
      <c r="AC124" s="271"/>
      <c r="AD124" s="271"/>
    </row>
    <row r="125" spans="3:30" x14ac:dyDescent="0.25">
      <c r="E125" t="s">
        <v>191</v>
      </c>
      <c r="G125" t="s">
        <v>268</v>
      </c>
      <c r="H125" s="271"/>
      <c r="I125" s="271"/>
      <c r="J125" s="286">
        <f>'Initial unit rates'!J125</f>
        <v>0</v>
      </c>
      <c r="K125" s="286">
        <f>'Initial unit rates'!K125</f>
        <v>0</v>
      </c>
      <c r="L125" s="286">
        <f>'Initial unit rates'!L125</f>
        <v>0</v>
      </c>
      <c r="M125" s="286">
        <f>'Initial unit rates'!M125</f>
        <v>0</v>
      </c>
      <c r="N125" s="286">
        <f>'Initial unit rates'!N125</f>
        <v>0</v>
      </c>
      <c r="O125" s="286">
        <f>'Initial unit rates'!O125</f>
        <v>0</v>
      </c>
      <c r="P125" s="286">
        <f>'Initial unit rates'!P125</f>
        <v>0</v>
      </c>
      <c r="Q125" s="286">
        <f>'Initial unit rates'!Q125</f>
        <v>0</v>
      </c>
      <c r="R125" s="286">
        <f>'Initial unit rates'!R125</f>
        <v>0</v>
      </c>
      <c r="S125" s="286">
        <f>'Initial unit rates'!S125</f>
        <v>0</v>
      </c>
      <c r="T125" s="286">
        <f>'Initial unit rates'!T125</f>
        <v>0</v>
      </c>
      <c r="U125" s="272"/>
      <c r="V125" s="272"/>
      <c r="W125" s="272"/>
      <c r="X125" s="272"/>
      <c r="Y125" s="272"/>
      <c r="Z125" s="272"/>
      <c r="AA125" s="272"/>
      <c r="AB125" s="272"/>
      <c r="AC125" s="271"/>
      <c r="AD125" s="271"/>
    </row>
    <row r="126" spans="3:30" x14ac:dyDescent="0.25">
      <c r="E126" t="s">
        <v>192</v>
      </c>
      <c r="G126" t="s">
        <v>268</v>
      </c>
      <c r="H126" s="271"/>
      <c r="I126" s="271"/>
      <c r="J126" s="286">
        <f>'Initial unit rates'!J126</f>
        <v>0</v>
      </c>
      <c r="K126" s="286">
        <f>'Initial unit rates'!K126</f>
        <v>0</v>
      </c>
      <c r="L126" s="286">
        <f>'Initial unit rates'!L126</f>
        <v>0</v>
      </c>
      <c r="M126" s="286">
        <f>'Initial unit rates'!M126</f>
        <v>0</v>
      </c>
      <c r="N126" s="286">
        <f>'Initial unit rates'!N126</f>
        <v>0</v>
      </c>
      <c r="O126" s="286">
        <f>'Initial unit rates'!O126</f>
        <v>0</v>
      </c>
      <c r="P126" s="286">
        <f>'Initial unit rates'!P126</f>
        <v>0</v>
      </c>
      <c r="Q126" s="286">
        <f>'Initial unit rates'!Q126</f>
        <v>0</v>
      </c>
      <c r="R126" s="286">
        <f>'Initial unit rates'!R126</f>
        <v>0</v>
      </c>
      <c r="S126" s="286">
        <f>'Initial unit rates'!S126</f>
        <v>0</v>
      </c>
      <c r="T126" s="286">
        <f>'Initial unit rates'!T126</f>
        <v>0</v>
      </c>
      <c r="U126" s="272"/>
      <c r="V126" s="272"/>
      <c r="W126" s="272"/>
      <c r="X126" s="272"/>
      <c r="Y126" s="272"/>
      <c r="Z126" s="272"/>
      <c r="AA126" s="272"/>
      <c r="AB126" s="272"/>
      <c r="AC126" s="271"/>
      <c r="AD126" s="271"/>
    </row>
    <row r="127" spans="3:30" x14ac:dyDescent="0.25">
      <c r="E127" t="s">
        <v>193</v>
      </c>
      <c r="G127" t="s">
        <v>268</v>
      </c>
      <c r="H127" s="271"/>
      <c r="I127" s="271"/>
      <c r="J127" s="286">
        <f>'Initial unit rates'!J127</f>
        <v>0.29815938040858531</v>
      </c>
      <c r="K127" s="286">
        <f>'Initial unit rates'!K127</f>
        <v>0.29815938040858531</v>
      </c>
      <c r="L127" s="286">
        <f>'Initial unit rates'!L127</f>
        <v>0.2394504015286161</v>
      </c>
      <c r="M127" s="286">
        <f>'Initial unit rates'!M127</f>
        <v>0.2394504015286161</v>
      </c>
      <c r="N127" s="286">
        <f>'Initial unit rates'!N127</f>
        <v>0.21956775836949444</v>
      </c>
      <c r="O127" s="286">
        <f>'Initial unit rates'!O127</f>
        <v>0.17292758164569083</v>
      </c>
      <c r="P127" s="286">
        <f>'Initial unit rates'!P127</f>
        <v>0.16213601267798952</v>
      </c>
      <c r="Q127" s="286">
        <f>'Initial unit rates'!Q127</f>
        <v>0.21956775836949444</v>
      </c>
      <c r="R127" s="286">
        <f>'Initial unit rates'!R127</f>
        <v>0.17292758164569083</v>
      </c>
      <c r="S127" s="286">
        <f>'Initial unit rates'!S127</f>
        <v>0.16213601267798952</v>
      </c>
      <c r="T127" s="286">
        <f>'Initial unit rates'!T127</f>
        <v>0.31473245434523334</v>
      </c>
      <c r="U127" s="272"/>
      <c r="V127" s="272"/>
      <c r="W127" s="272"/>
      <c r="X127" s="272"/>
      <c r="Y127" s="272"/>
      <c r="Z127" s="272"/>
      <c r="AA127" s="272"/>
      <c r="AB127" s="272"/>
      <c r="AC127" s="271"/>
      <c r="AD127" s="271"/>
    </row>
    <row r="128" spans="3:30" x14ac:dyDescent="0.25">
      <c r="E128" t="s">
        <v>194</v>
      </c>
      <c r="G128" t="s">
        <v>268</v>
      </c>
      <c r="H128" s="271"/>
      <c r="I128" s="271"/>
      <c r="J128" s="286">
        <f>'Initial unit rates'!J128</f>
        <v>7.6401824577197505E-2</v>
      </c>
      <c r="K128" s="286">
        <f>'Initial unit rates'!K128</f>
        <v>7.6401824577197505E-2</v>
      </c>
      <c r="L128" s="286">
        <f>'Initial unit rates'!L128</f>
        <v>6.1357947375188661E-2</v>
      </c>
      <c r="M128" s="286">
        <f>'Initial unit rates'!M128</f>
        <v>6.1357947375188661E-2</v>
      </c>
      <c r="N128" s="286">
        <f>'Initial unit rates'!N128</f>
        <v>5.6263121203050256E-2</v>
      </c>
      <c r="O128" s="286">
        <f>'Initial unit rates'!O128</f>
        <v>4.4311813162973147E-2</v>
      </c>
      <c r="P128" s="286">
        <f>'Initial unit rates'!P128</f>
        <v>3.6785886797316661E-2</v>
      </c>
      <c r="Q128" s="286">
        <f>'Initial unit rates'!Q128</f>
        <v>5.6263121203050256E-2</v>
      </c>
      <c r="R128" s="286">
        <f>'Initial unit rates'!R128</f>
        <v>4.4311813162973147E-2</v>
      </c>
      <c r="S128" s="286">
        <f>'Initial unit rates'!S128</f>
        <v>3.6785886797316661E-2</v>
      </c>
      <c r="T128" s="286">
        <f>'Initial unit rates'!T128</f>
        <v>8.0648590470920323E-2</v>
      </c>
      <c r="U128" s="272"/>
      <c r="V128" s="272"/>
      <c r="W128" s="272"/>
      <c r="X128" s="272"/>
      <c r="Y128" s="272"/>
      <c r="Z128" s="272"/>
      <c r="AA128" s="272"/>
      <c r="AB128" s="272"/>
      <c r="AC128" s="271"/>
      <c r="AD128" s="271"/>
    </row>
    <row r="129" spans="4:30" x14ac:dyDescent="0.25">
      <c r="E129" t="s">
        <v>195</v>
      </c>
      <c r="G129" t="s">
        <v>268</v>
      </c>
      <c r="H129" s="271"/>
      <c r="I129" s="271"/>
      <c r="J129" s="286">
        <f>'Initial unit rates'!J129</f>
        <v>0</v>
      </c>
      <c r="K129" s="286">
        <f>'Initial unit rates'!K129</f>
        <v>0</v>
      </c>
      <c r="L129" s="286">
        <f>'Initial unit rates'!L129</f>
        <v>0</v>
      </c>
      <c r="M129" s="286">
        <f>'Initial unit rates'!M129</f>
        <v>0</v>
      </c>
      <c r="N129" s="286">
        <f>'Initial unit rates'!N129</f>
        <v>0</v>
      </c>
      <c r="O129" s="286">
        <f>'Initial unit rates'!O129</f>
        <v>0</v>
      </c>
      <c r="P129" s="286">
        <f>'Initial unit rates'!P129</f>
        <v>0</v>
      </c>
      <c r="Q129" s="286">
        <f>'Initial unit rates'!Q129</f>
        <v>0</v>
      </c>
      <c r="R129" s="286">
        <f>'Initial unit rates'!R129</f>
        <v>0</v>
      </c>
      <c r="S129" s="286">
        <f>'Initial unit rates'!S129</f>
        <v>0</v>
      </c>
      <c r="T129" s="286">
        <f>'Initial unit rates'!T129</f>
        <v>0</v>
      </c>
      <c r="U129" s="272"/>
      <c r="V129" s="272"/>
      <c r="W129" s="272"/>
      <c r="X129" s="272"/>
      <c r="Y129" s="272"/>
      <c r="Z129" s="272"/>
      <c r="AA129" s="272"/>
      <c r="AB129" s="272"/>
      <c r="AC129" s="271"/>
      <c r="AD129" s="271"/>
    </row>
    <row r="130" spans="4:30" x14ac:dyDescent="0.25">
      <c r="E130" t="s">
        <v>196</v>
      </c>
      <c r="G130" t="s">
        <v>268</v>
      </c>
      <c r="H130" s="271"/>
      <c r="I130" s="271"/>
      <c r="J130" s="286">
        <f>'Initial unit rates'!J130</f>
        <v>0.26273193767159886</v>
      </c>
      <c r="K130" s="286">
        <f>'Initial unit rates'!K130</f>
        <v>0.26273193767159886</v>
      </c>
      <c r="L130" s="286">
        <f>'Initial unit rates'!L130</f>
        <v>0.21099878824420912</v>
      </c>
      <c r="M130" s="286">
        <f>'Initial unit rates'!M130</f>
        <v>0.21099878824420912</v>
      </c>
      <c r="N130" s="286">
        <f>'Initial unit rates'!N130</f>
        <v>0.19347861042498202</v>
      </c>
      <c r="O130" s="286">
        <f>'Initial unit rates'!O130</f>
        <v>0.15238024220594915</v>
      </c>
      <c r="P130" s="286">
        <f>'Initial unit rates'!P130</f>
        <v>0.1011887037750764</v>
      </c>
      <c r="Q130" s="286">
        <f>'Initial unit rates'!Q130</f>
        <v>0.19347861042498202</v>
      </c>
      <c r="R130" s="286">
        <f>'Initial unit rates'!R130</f>
        <v>0.15238024220594915</v>
      </c>
      <c r="S130" s="286">
        <f>'Initial unit rates'!S130</f>
        <v>0.1011887037750764</v>
      </c>
      <c r="T130" s="286">
        <f>'Initial unit rates'!T130</f>
        <v>0.27733579089460764</v>
      </c>
      <c r="U130" s="272"/>
      <c r="V130" s="272"/>
      <c r="W130" s="272"/>
      <c r="X130" s="272"/>
      <c r="Y130" s="272"/>
      <c r="Z130" s="272"/>
      <c r="AA130" s="272"/>
      <c r="AB130" s="272"/>
      <c r="AC130" s="271"/>
      <c r="AD130" s="271"/>
    </row>
    <row r="131" spans="4:30" x14ac:dyDescent="0.25">
      <c r="E131" t="s">
        <v>197</v>
      </c>
      <c r="G131" t="s">
        <v>268</v>
      </c>
      <c r="H131" s="271"/>
      <c r="I131" s="271"/>
      <c r="J131" s="286">
        <f>'Initial unit rates'!J131</f>
        <v>6.0329341090481103E-2</v>
      </c>
      <c r="K131" s="286">
        <f>'Initial unit rates'!K131</f>
        <v>6.0329341090481103E-2</v>
      </c>
      <c r="L131" s="286">
        <f>'Initial unit rates'!L131</f>
        <v>4.845021118663613E-2</v>
      </c>
      <c r="M131" s="286">
        <f>'Initial unit rates'!M131</f>
        <v>4.845021118663613E-2</v>
      </c>
      <c r="N131" s="286">
        <f>'Initial unit rates'!N131</f>
        <v>4.4427172370003175E-2</v>
      </c>
      <c r="O131" s="286">
        <f>'Initial unit rates'!O131</f>
        <v>3.4990034667896359E-2</v>
      </c>
      <c r="P131" s="286">
        <f>'Initial unit rates'!P131</f>
        <v>0</v>
      </c>
      <c r="Q131" s="286">
        <f>'Initial unit rates'!Q131</f>
        <v>4.4427172370003175E-2</v>
      </c>
      <c r="R131" s="286">
        <f>'Initial unit rates'!R131</f>
        <v>3.4990034667896359E-2</v>
      </c>
      <c r="S131" s="286">
        <f>'Initial unit rates'!S131</f>
        <v>0</v>
      </c>
      <c r="T131" s="286">
        <f>'Initial unit rates'!T131</f>
        <v>6.3682724200788285E-2</v>
      </c>
      <c r="U131" s="272"/>
      <c r="V131" s="272"/>
      <c r="W131" s="272"/>
      <c r="X131" s="272"/>
      <c r="Y131" s="272"/>
      <c r="Z131" s="272"/>
      <c r="AA131" s="272"/>
      <c r="AB131" s="272"/>
      <c r="AC131" s="271"/>
      <c r="AD131" s="271"/>
    </row>
    <row r="132" spans="4:30" x14ac:dyDescent="0.25">
      <c r="E132" t="s">
        <v>198</v>
      </c>
      <c r="G132" t="s">
        <v>268</v>
      </c>
      <c r="H132" s="271"/>
      <c r="I132" s="271"/>
      <c r="J132" s="286">
        <f>'Initial unit rates'!J132</f>
        <v>1.0599273401970805E-2</v>
      </c>
      <c r="K132" s="286">
        <f>'Initial unit rates'!K132</f>
        <v>1.0599273401970805E-2</v>
      </c>
      <c r="L132" s="286">
        <f>'Initial unit rates'!L132</f>
        <v>8.5122268114976585E-3</v>
      </c>
      <c r="M132" s="286">
        <f>'Initial unit rates'!M132</f>
        <v>8.5122268114976585E-3</v>
      </c>
      <c r="N132" s="286">
        <f>'Initial unit rates'!N132</f>
        <v>7.8054183572120227E-3</v>
      </c>
      <c r="O132" s="286">
        <f>'Initial unit rates'!O132</f>
        <v>0</v>
      </c>
      <c r="P132" s="286">
        <f>'Initial unit rates'!P132</f>
        <v>0</v>
      </c>
      <c r="Q132" s="286">
        <f>'Initial unit rates'!Q132</f>
        <v>7.8054183572120227E-3</v>
      </c>
      <c r="R132" s="286">
        <f>'Initial unit rates'!R132</f>
        <v>0</v>
      </c>
      <c r="S132" s="286">
        <f>'Initial unit rates'!S132</f>
        <v>0</v>
      </c>
      <c r="T132" s="286">
        <f>'Initial unit rates'!T132</f>
        <v>1.1188429917941854E-2</v>
      </c>
      <c r="U132" s="272"/>
      <c r="V132" s="272"/>
      <c r="W132" s="272"/>
      <c r="X132" s="272"/>
      <c r="Y132" s="272"/>
      <c r="Z132" s="272"/>
      <c r="AA132" s="272"/>
      <c r="AB132" s="272"/>
      <c r="AC132" s="271"/>
      <c r="AD132" s="271"/>
    </row>
    <row r="133" spans="4:30" x14ac:dyDescent="0.25">
      <c r="E133" t="s">
        <v>375</v>
      </c>
      <c r="G133" t="s">
        <v>268</v>
      </c>
      <c r="H133" s="271"/>
      <c r="I133" s="271"/>
      <c r="J133" s="272"/>
      <c r="K133" s="272"/>
      <c r="L133" s="272"/>
      <c r="M133" s="272"/>
      <c r="N133" s="272"/>
      <c r="O133" s="272"/>
      <c r="P133" s="272"/>
      <c r="Q133" s="272"/>
      <c r="R133" s="272"/>
      <c r="S133" s="272"/>
      <c r="T133" s="272"/>
      <c r="U133" s="272"/>
      <c r="V133" s="272"/>
      <c r="W133" s="272"/>
      <c r="X133" s="272"/>
      <c r="Y133" s="272"/>
      <c r="Z133" s="272"/>
      <c r="AA133" s="272"/>
      <c r="AB133" s="272"/>
      <c r="AC133" s="271"/>
      <c r="AD133" s="271"/>
    </row>
    <row r="134" spans="4:30" x14ac:dyDescent="0.25">
      <c r="E134" s="37" t="s">
        <v>376</v>
      </c>
      <c r="F134" s="37"/>
      <c r="G134" s="37" t="s">
        <v>268</v>
      </c>
      <c r="H134" s="275"/>
      <c r="I134" s="275"/>
      <c r="J134" s="276"/>
      <c r="K134" s="276"/>
      <c r="L134" s="276"/>
      <c r="M134" s="276"/>
      <c r="N134" s="276"/>
      <c r="O134" s="276"/>
      <c r="P134" s="276"/>
      <c r="Q134" s="276"/>
      <c r="R134" s="276"/>
      <c r="S134" s="276"/>
      <c r="T134" s="276"/>
      <c r="U134" s="276"/>
      <c r="V134" s="276"/>
      <c r="W134" s="276"/>
      <c r="X134" s="276"/>
      <c r="Y134" s="276"/>
      <c r="Z134" s="276"/>
      <c r="AA134" s="276"/>
      <c r="AB134" s="276"/>
      <c r="AC134" s="271"/>
      <c r="AD134" s="271"/>
    </row>
    <row r="135" spans="4:30" x14ac:dyDescent="0.25">
      <c r="E135"/>
      <c r="J135" s="89"/>
      <c r="K135" s="89"/>
      <c r="L135" s="89"/>
      <c r="M135" s="89"/>
      <c r="N135" s="89"/>
      <c r="O135" s="89"/>
      <c r="P135" s="89"/>
      <c r="Q135" s="89"/>
      <c r="R135" s="89"/>
      <c r="S135" s="89"/>
      <c r="T135" s="89"/>
      <c r="U135" s="89"/>
      <c r="V135" s="89"/>
      <c r="W135" s="89"/>
      <c r="X135" s="89"/>
      <c r="Y135" s="89"/>
      <c r="Z135" s="89"/>
      <c r="AA135" s="89"/>
      <c r="AB135" s="89"/>
    </row>
    <row r="136" spans="4:30" x14ac:dyDescent="0.25">
      <c r="D136" s="32" t="s">
        <v>621</v>
      </c>
      <c r="E136"/>
      <c r="J136" s="89"/>
      <c r="K136" s="89"/>
      <c r="L136" s="89"/>
      <c r="M136" s="89"/>
      <c r="N136" s="89"/>
      <c r="O136" s="89"/>
      <c r="P136" s="89"/>
      <c r="Q136" s="89"/>
      <c r="R136" s="89"/>
      <c r="S136" s="89"/>
      <c r="T136" s="89"/>
      <c r="U136" s="89"/>
      <c r="V136" s="89"/>
      <c r="W136" s="89"/>
      <c r="X136" s="89"/>
      <c r="Y136" s="89"/>
      <c r="Z136" s="89"/>
      <c r="AA136" s="89"/>
      <c r="AB136" s="89"/>
    </row>
    <row r="137" spans="4:30" x14ac:dyDescent="0.25">
      <c r="E137" s="23" t="s">
        <v>188</v>
      </c>
      <c r="F137" s="23"/>
      <c r="G137" s="23" t="s">
        <v>268</v>
      </c>
      <c r="H137" s="269"/>
      <c r="I137" s="269"/>
      <c r="J137" s="285">
        <f>'Initial unit rates'!J135</f>
        <v>0.31132887203476051</v>
      </c>
      <c r="K137" s="285">
        <f>'Initial unit rates'!K135</f>
        <v>0.31132887203476051</v>
      </c>
      <c r="L137" s="285">
        <f>'Initial unit rates'!L135</f>
        <v>0.25002675855449291</v>
      </c>
      <c r="M137" s="285">
        <f>'Initial unit rates'!M135</f>
        <v>0.25002675855449291</v>
      </c>
      <c r="N137" s="285">
        <f>'Initial unit rates'!N135</f>
        <v>0.22926591293120097</v>
      </c>
      <c r="O137" s="285">
        <f>'Initial unit rates'!O135</f>
        <v>0.18056567217062025</v>
      </c>
      <c r="P137" s="285">
        <f>'Initial unit rates'!P135</f>
        <v>0.1747316861813501</v>
      </c>
      <c r="Q137" s="285">
        <f>'Initial unit rates'!Q135</f>
        <v>0.22926591293120097</v>
      </c>
      <c r="R137" s="285">
        <f>'Initial unit rates'!R135</f>
        <v>0.18056567217062025</v>
      </c>
      <c r="S137" s="285">
        <f>'Initial unit rates'!S135</f>
        <v>0.1747316861813501</v>
      </c>
      <c r="T137" s="285">
        <f>'Initial unit rates'!T135</f>
        <v>0.32863396707411402</v>
      </c>
      <c r="U137" s="287"/>
      <c r="V137" s="287"/>
      <c r="W137" s="287"/>
      <c r="X137" s="287"/>
      <c r="Y137" s="287"/>
      <c r="Z137" s="287"/>
      <c r="AA137" s="287"/>
      <c r="AB137" s="287"/>
      <c r="AC137" s="271"/>
      <c r="AD137" s="271"/>
    </row>
    <row r="138" spans="4:30" x14ac:dyDescent="0.25">
      <c r="E138" t="s">
        <v>190</v>
      </c>
      <c r="G138" t="s">
        <v>268</v>
      </c>
      <c r="H138" s="271"/>
      <c r="I138" s="271"/>
      <c r="J138" s="286">
        <f>'Initial unit rates'!J136</f>
        <v>0</v>
      </c>
      <c r="K138" s="286">
        <f>'Initial unit rates'!K136</f>
        <v>0</v>
      </c>
      <c r="L138" s="286">
        <f>'Initial unit rates'!L136</f>
        <v>0</v>
      </c>
      <c r="M138" s="286">
        <f>'Initial unit rates'!M136</f>
        <v>0</v>
      </c>
      <c r="N138" s="286">
        <f>'Initial unit rates'!N136</f>
        <v>0</v>
      </c>
      <c r="O138" s="286">
        <f>'Initial unit rates'!O136</f>
        <v>0</v>
      </c>
      <c r="P138" s="286">
        <f>'Initial unit rates'!P136</f>
        <v>0</v>
      </c>
      <c r="Q138" s="286">
        <f>'Initial unit rates'!Q136</f>
        <v>0</v>
      </c>
      <c r="R138" s="286">
        <f>'Initial unit rates'!R136</f>
        <v>0</v>
      </c>
      <c r="S138" s="286">
        <f>'Initial unit rates'!S136</f>
        <v>0</v>
      </c>
      <c r="T138" s="286">
        <f>'Initial unit rates'!T136</f>
        <v>0</v>
      </c>
      <c r="U138" s="272"/>
      <c r="V138" s="272"/>
      <c r="W138" s="272"/>
      <c r="X138" s="272"/>
      <c r="Y138" s="272"/>
      <c r="Z138" s="272"/>
      <c r="AA138" s="272"/>
      <c r="AB138" s="272"/>
      <c r="AC138" s="271"/>
      <c r="AD138" s="271"/>
    </row>
    <row r="139" spans="4:30" x14ac:dyDescent="0.25">
      <c r="E139" t="s">
        <v>191</v>
      </c>
      <c r="G139" t="s">
        <v>268</v>
      </c>
      <c r="H139" s="271"/>
      <c r="I139" s="271"/>
      <c r="J139" s="286">
        <f>'Initial unit rates'!J137</f>
        <v>0</v>
      </c>
      <c r="K139" s="286">
        <f>'Initial unit rates'!K137</f>
        <v>0</v>
      </c>
      <c r="L139" s="286">
        <f>'Initial unit rates'!L137</f>
        <v>0</v>
      </c>
      <c r="M139" s="286">
        <f>'Initial unit rates'!M137</f>
        <v>0</v>
      </c>
      <c r="N139" s="286">
        <f>'Initial unit rates'!N137</f>
        <v>0</v>
      </c>
      <c r="O139" s="286">
        <f>'Initial unit rates'!O137</f>
        <v>0</v>
      </c>
      <c r="P139" s="286">
        <f>'Initial unit rates'!P137</f>
        <v>0</v>
      </c>
      <c r="Q139" s="286">
        <f>'Initial unit rates'!Q137</f>
        <v>0</v>
      </c>
      <c r="R139" s="286">
        <f>'Initial unit rates'!R137</f>
        <v>0</v>
      </c>
      <c r="S139" s="286">
        <f>'Initial unit rates'!S137</f>
        <v>0</v>
      </c>
      <c r="T139" s="286">
        <f>'Initial unit rates'!T137</f>
        <v>0</v>
      </c>
      <c r="U139" s="272"/>
      <c r="V139" s="272"/>
      <c r="W139" s="272"/>
      <c r="X139" s="272"/>
      <c r="Y139" s="272"/>
      <c r="Z139" s="272"/>
      <c r="AA139" s="272"/>
      <c r="AB139" s="272"/>
      <c r="AC139" s="271"/>
      <c r="AD139" s="271"/>
    </row>
    <row r="140" spans="4:30" x14ac:dyDescent="0.25">
      <c r="E140" t="s">
        <v>192</v>
      </c>
      <c r="G140" t="s">
        <v>268</v>
      </c>
      <c r="H140" s="271"/>
      <c r="I140" s="271"/>
      <c r="J140" s="286">
        <f>'Initial unit rates'!J138</f>
        <v>0</v>
      </c>
      <c r="K140" s="286">
        <f>'Initial unit rates'!K138</f>
        <v>0</v>
      </c>
      <c r="L140" s="286">
        <f>'Initial unit rates'!L138</f>
        <v>0</v>
      </c>
      <c r="M140" s="286">
        <f>'Initial unit rates'!M138</f>
        <v>0</v>
      </c>
      <c r="N140" s="286">
        <f>'Initial unit rates'!N138</f>
        <v>0</v>
      </c>
      <c r="O140" s="286">
        <f>'Initial unit rates'!O138</f>
        <v>0</v>
      </c>
      <c r="P140" s="286">
        <f>'Initial unit rates'!P138</f>
        <v>0</v>
      </c>
      <c r="Q140" s="286">
        <f>'Initial unit rates'!Q138</f>
        <v>0</v>
      </c>
      <c r="R140" s="286">
        <f>'Initial unit rates'!R138</f>
        <v>0</v>
      </c>
      <c r="S140" s="286">
        <f>'Initial unit rates'!S138</f>
        <v>0</v>
      </c>
      <c r="T140" s="286">
        <f>'Initial unit rates'!T138</f>
        <v>0</v>
      </c>
      <c r="U140" s="272"/>
      <c r="V140" s="272"/>
      <c r="W140" s="272"/>
      <c r="X140" s="272"/>
      <c r="Y140" s="272"/>
      <c r="Z140" s="272"/>
      <c r="AA140" s="272"/>
      <c r="AB140" s="272"/>
      <c r="AC140" s="271"/>
      <c r="AD140" s="271"/>
    </row>
    <row r="141" spans="4:30" x14ac:dyDescent="0.25">
      <c r="E141" t="s">
        <v>193</v>
      </c>
      <c r="G141" t="s">
        <v>268</v>
      </c>
      <c r="H141" s="271"/>
      <c r="I141" s="271"/>
      <c r="J141" s="286">
        <f>'Initial unit rates'!J139</f>
        <v>0.22035271762947548</v>
      </c>
      <c r="K141" s="286">
        <f>'Initial unit rates'!K139</f>
        <v>0.22035271762947548</v>
      </c>
      <c r="L141" s="286">
        <f>'Initial unit rates'!L139</f>
        <v>0.17696423517514251</v>
      </c>
      <c r="M141" s="286">
        <f>'Initial unit rates'!M139</f>
        <v>0.17696423517514251</v>
      </c>
      <c r="N141" s="286">
        <f>'Initial unit rates'!N139</f>
        <v>0.16227009928122646</v>
      </c>
      <c r="O141" s="286">
        <f>'Initial unit rates'!O139</f>
        <v>0.12780098521972835</v>
      </c>
      <c r="P141" s="286">
        <f>'Initial unit rates'!P139</f>
        <v>0.12367179970941554</v>
      </c>
      <c r="Q141" s="286">
        <f>'Initial unit rates'!Q139</f>
        <v>0.16227009928122646</v>
      </c>
      <c r="R141" s="286">
        <f>'Initial unit rates'!R139</f>
        <v>0.12780098521972835</v>
      </c>
      <c r="S141" s="286">
        <f>'Initial unit rates'!S139</f>
        <v>0.12367179970941554</v>
      </c>
      <c r="T141" s="286">
        <f>'Initial unit rates'!T139</f>
        <v>0.23260093828384559</v>
      </c>
      <c r="U141" s="272"/>
      <c r="V141" s="272"/>
      <c r="W141" s="272"/>
      <c r="X141" s="272"/>
      <c r="Y141" s="272"/>
      <c r="Z141" s="272"/>
      <c r="AA141" s="272"/>
      <c r="AB141" s="272"/>
      <c r="AC141" s="271"/>
      <c r="AD141" s="271"/>
    </row>
    <row r="142" spans="4:30" x14ac:dyDescent="0.25">
      <c r="E142" t="s">
        <v>194</v>
      </c>
      <c r="G142" t="s">
        <v>268</v>
      </c>
      <c r="H142" s="271"/>
      <c r="I142" s="271"/>
      <c r="J142" s="286">
        <f>'Initial unit rates'!J140</f>
        <v>5.6464263020554482E-2</v>
      </c>
      <c r="K142" s="286">
        <f>'Initial unit rates'!K140</f>
        <v>5.6464263020554482E-2</v>
      </c>
      <c r="L142" s="286">
        <f>'Initial unit rates'!L140</f>
        <v>4.5346185096579471E-2</v>
      </c>
      <c r="M142" s="286">
        <f>'Initial unit rates'!M140</f>
        <v>4.5346185096579471E-2</v>
      </c>
      <c r="N142" s="286">
        <f>'Initial unit rates'!N140</f>
        <v>4.1580887518679929E-2</v>
      </c>
      <c r="O142" s="286">
        <f>'Initial unit rates'!O140</f>
        <v>3.2748352375062628E-2</v>
      </c>
      <c r="P142" s="286">
        <f>'Initial unit rates'!P140</f>
        <v>3.1690269592044677E-2</v>
      </c>
      <c r="Q142" s="286">
        <f>'Initial unit rates'!Q140</f>
        <v>4.1580887518679929E-2</v>
      </c>
      <c r="R142" s="286">
        <f>'Initial unit rates'!R140</f>
        <v>3.2748352375062628E-2</v>
      </c>
      <c r="S142" s="286">
        <f>'Initial unit rates'!S140</f>
        <v>3.1690269592044677E-2</v>
      </c>
      <c r="T142" s="286">
        <f>'Initial unit rates'!T140</f>
        <v>5.9602807259999946E-2</v>
      </c>
      <c r="U142" s="272"/>
      <c r="V142" s="272"/>
      <c r="W142" s="272"/>
      <c r="X142" s="272"/>
      <c r="Y142" s="272"/>
      <c r="Z142" s="272"/>
      <c r="AA142" s="272"/>
      <c r="AB142" s="272"/>
      <c r="AC142" s="271"/>
      <c r="AD142" s="271"/>
    </row>
    <row r="143" spans="4:30" x14ac:dyDescent="0.25">
      <c r="E143" t="s">
        <v>195</v>
      </c>
      <c r="G143" t="s">
        <v>268</v>
      </c>
      <c r="H143" s="271"/>
      <c r="I143" s="271"/>
      <c r="J143" s="286">
        <f>'Initial unit rates'!J141</f>
        <v>0</v>
      </c>
      <c r="K143" s="286">
        <f>'Initial unit rates'!K141</f>
        <v>0</v>
      </c>
      <c r="L143" s="286">
        <f>'Initial unit rates'!L141</f>
        <v>0</v>
      </c>
      <c r="M143" s="286">
        <f>'Initial unit rates'!M141</f>
        <v>0</v>
      </c>
      <c r="N143" s="286">
        <f>'Initial unit rates'!N141</f>
        <v>0</v>
      </c>
      <c r="O143" s="286">
        <f>'Initial unit rates'!O141</f>
        <v>0</v>
      </c>
      <c r="P143" s="286">
        <f>'Initial unit rates'!P141</f>
        <v>0</v>
      </c>
      <c r="Q143" s="286">
        <f>'Initial unit rates'!Q141</f>
        <v>0</v>
      </c>
      <c r="R143" s="286">
        <f>'Initial unit rates'!R141</f>
        <v>0</v>
      </c>
      <c r="S143" s="286">
        <f>'Initial unit rates'!S141</f>
        <v>0</v>
      </c>
      <c r="T143" s="286">
        <f>'Initial unit rates'!T141</f>
        <v>0</v>
      </c>
      <c r="U143" s="272"/>
      <c r="V143" s="272"/>
      <c r="W143" s="272"/>
      <c r="X143" s="272"/>
      <c r="Y143" s="272"/>
      <c r="Z143" s="272"/>
      <c r="AA143" s="272"/>
      <c r="AB143" s="272"/>
      <c r="AC143" s="271"/>
      <c r="AD143" s="271"/>
    </row>
    <row r="144" spans="4:30" x14ac:dyDescent="0.25">
      <c r="E144" t="s">
        <v>196</v>
      </c>
      <c r="G144" t="s">
        <v>268</v>
      </c>
      <c r="H144" s="271"/>
      <c r="I144" s="271"/>
      <c r="J144" s="286">
        <f>'Initial unit rates'!J142</f>
        <v>0.24291084133676452</v>
      </c>
      <c r="K144" s="286">
        <f>'Initial unit rates'!K142</f>
        <v>0.24291084133676452</v>
      </c>
      <c r="L144" s="286">
        <f>'Initial unit rates'!L142</f>
        <v>0.19508055863959461</v>
      </c>
      <c r="M144" s="286">
        <f>'Initial unit rates'!M142</f>
        <v>0.19508055863959461</v>
      </c>
      <c r="N144" s="286">
        <f>'Initial unit rates'!N142</f>
        <v>0.17888214297625885</v>
      </c>
      <c r="O144" s="286">
        <f>'Initial unit rates'!O142</f>
        <v>0.14088432934869774</v>
      </c>
      <c r="P144" s="286">
        <f>'Initial unit rates'!P142</f>
        <v>0.13633242757441488</v>
      </c>
      <c r="Q144" s="286">
        <f>'Initial unit rates'!Q142</f>
        <v>0.17888214297625885</v>
      </c>
      <c r="R144" s="286">
        <f>'Initial unit rates'!R142</f>
        <v>0.14088432934869774</v>
      </c>
      <c r="S144" s="286">
        <f>'Initial unit rates'!S142</f>
        <v>0.13633242757441488</v>
      </c>
      <c r="T144" s="286">
        <f>'Initial unit rates'!T142</f>
        <v>0.25641294657984226</v>
      </c>
      <c r="U144" s="272"/>
      <c r="V144" s="272"/>
      <c r="W144" s="272"/>
      <c r="X144" s="272"/>
      <c r="Y144" s="272"/>
      <c r="Z144" s="272"/>
      <c r="AA144" s="272"/>
      <c r="AB144" s="272"/>
      <c r="AC144" s="271"/>
      <c r="AD144" s="271"/>
    </row>
    <row r="145" spans="2:30" x14ac:dyDescent="0.25">
      <c r="E145" t="s">
        <v>197</v>
      </c>
      <c r="G145" t="s">
        <v>268</v>
      </c>
      <c r="H145" s="271"/>
      <c r="I145" s="271"/>
      <c r="J145" s="286">
        <f>'Initial unit rates'!J143</f>
        <v>6.1050372551745752E-2</v>
      </c>
      <c r="K145" s="286">
        <f>'Initial unit rates'!K143</f>
        <v>6.1050372551745752E-2</v>
      </c>
      <c r="L145" s="286">
        <f>'Initial unit rates'!L143</f>
        <v>4.9029268175143387E-2</v>
      </c>
      <c r="M145" s="286">
        <f>'Initial unit rates'!M143</f>
        <v>4.9029268175143387E-2</v>
      </c>
      <c r="N145" s="286">
        <f>'Initial unit rates'!N143</f>
        <v>4.495814765391612E-2</v>
      </c>
      <c r="O145" s="286">
        <f>'Initial unit rates'!O143</f>
        <v>3.540822116505131E-2</v>
      </c>
      <c r="P145" s="286">
        <f>'Initial unit rates'!P143</f>
        <v>0</v>
      </c>
      <c r="Q145" s="286">
        <f>'Initial unit rates'!Q143</f>
        <v>4.495814765391612E-2</v>
      </c>
      <c r="R145" s="286">
        <f>'Initial unit rates'!R143</f>
        <v>3.540822116505131E-2</v>
      </c>
      <c r="S145" s="286">
        <f>'Initial unit rates'!S143</f>
        <v>0</v>
      </c>
      <c r="T145" s="286">
        <f>'Initial unit rates'!T143</f>
        <v>6.44438339171855E-2</v>
      </c>
      <c r="U145" s="272"/>
      <c r="V145" s="272"/>
      <c r="W145" s="272"/>
      <c r="X145" s="272"/>
      <c r="Y145" s="272"/>
      <c r="Z145" s="272"/>
      <c r="AA145" s="272"/>
      <c r="AB145" s="272"/>
      <c r="AC145" s="271"/>
      <c r="AD145" s="271"/>
    </row>
    <row r="146" spans="2:30" x14ac:dyDescent="0.25">
      <c r="E146" t="s">
        <v>198</v>
      </c>
      <c r="G146" t="s">
        <v>268</v>
      </c>
      <c r="H146" s="271"/>
      <c r="I146" s="271"/>
      <c r="J146" s="286">
        <f>'Initial unit rates'!J144</f>
        <v>0.10268865679732846</v>
      </c>
      <c r="K146" s="286">
        <f>'Initial unit rates'!K144</f>
        <v>0.10268865679732846</v>
      </c>
      <c r="L146" s="286">
        <f>'Initial unit rates'!L144</f>
        <v>8.2468779177294435E-2</v>
      </c>
      <c r="M146" s="286">
        <f>'Initial unit rates'!M144</f>
        <v>8.2468779177294435E-2</v>
      </c>
      <c r="N146" s="286">
        <f>'Initial unit rates'!N144</f>
        <v>7.5621025748262932E-2</v>
      </c>
      <c r="O146" s="286">
        <f>'Initial unit rates'!O144</f>
        <v>0</v>
      </c>
      <c r="P146" s="286">
        <f>'Initial unit rates'!P144</f>
        <v>0</v>
      </c>
      <c r="Q146" s="286">
        <f>'Initial unit rates'!Q144</f>
        <v>7.5621025748262932E-2</v>
      </c>
      <c r="R146" s="286">
        <f>'Initial unit rates'!R144</f>
        <v>0</v>
      </c>
      <c r="S146" s="286">
        <f>'Initial unit rates'!S144</f>
        <v>0</v>
      </c>
      <c r="T146" s="286">
        <f>'Initial unit rates'!T144</f>
        <v>0.10839656610148997</v>
      </c>
      <c r="U146" s="272"/>
      <c r="V146" s="272"/>
      <c r="W146" s="272"/>
      <c r="X146" s="272"/>
      <c r="Y146" s="272"/>
      <c r="Z146" s="272"/>
      <c r="AA146" s="272"/>
      <c r="AB146" s="272"/>
      <c r="AC146" s="271"/>
      <c r="AD146" s="271"/>
    </row>
    <row r="147" spans="2:30" x14ac:dyDescent="0.25">
      <c r="E147" t="s">
        <v>375</v>
      </c>
      <c r="G147" t="s">
        <v>268</v>
      </c>
      <c r="H147" s="271"/>
      <c r="I147" s="271"/>
      <c r="J147" s="272"/>
      <c r="K147" s="272"/>
      <c r="L147" s="272"/>
      <c r="M147" s="272"/>
      <c r="N147" s="272"/>
      <c r="O147" s="272"/>
      <c r="P147" s="272"/>
      <c r="Q147" s="272"/>
      <c r="R147" s="272"/>
      <c r="S147" s="272"/>
      <c r="T147" s="272"/>
      <c r="U147" s="272"/>
      <c r="V147" s="272"/>
      <c r="W147" s="272"/>
      <c r="X147" s="272"/>
      <c r="Y147" s="272"/>
      <c r="Z147" s="272"/>
      <c r="AA147" s="272"/>
      <c r="AB147" s="272"/>
      <c r="AC147" s="271"/>
      <c r="AD147" s="271"/>
    </row>
    <row r="148" spans="2:30" x14ac:dyDescent="0.25">
      <c r="E148" s="37" t="s">
        <v>376</v>
      </c>
      <c r="F148" s="37"/>
      <c r="G148" s="37" t="s">
        <v>268</v>
      </c>
      <c r="H148" s="275"/>
      <c r="I148" s="275"/>
      <c r="J148" s="276"/>
      <c r="K148" s="276"/>
      <c r="L148" s="276"/>
      <c r="M148" s="276"/>
      <c r="N148" s="276"/>
      <c r="O148" s="276"/>
      <c r="P148" s="276"/>
      <c r="Q148" s="276"/>
      <c r="R148" s="276"/>
      <c r="S148" s="276"/>
      <c r="T148" s="276"/>
      <c r="U148" s="276"/>
      <c r="V148" s="276"/>
      <c r="W148" s="276"/>
      <c r="X148" s="276"/>
      <c r="Y148" s="276"/>
      <c r="Z148" s="276"/>
      <c r="AA148" s="276"/>
      <c r="AB148" s="276"/>
      <c r="AC148" s="271"/>
      <c r="AD148" s="271"/>
    </row>
    <row r="149" spans="2:30" x14ac:dyDescent="0.25">
      <c r="D149"/>
      <c r="E149"/>
      <c r="J149" s="89"/>
      <c r="K149" s="89"/>
      <c r="L149" s="89"/>
      <c r="M149" s="89"/>
      <c r="N149" s="89"/>
      <c r="O149" s="89"/>
      <c r="P149" s="89"/>
      <c r="Q149" s="89"/>
      <c r="R149" s="89"/>
      <c r="S149" s="89"/>
      <c r="T149" s="89"/>
      <c r="U149" s="89"/>
      <c r="V149" s="89"/>
      <c r="W149" s="89"/>
      <c r="X149" s="89"/>
      <c r="Y149" s="89"/>
      <c r="Z149" s="89"/>
      <c r="AA149" s="89"/>
      <c r="AB149" s="89"/>
    </row>
    <row r="150" spans="2:30" x14ac:dyDescent="0.25">
      <c r="B150" s="30" t="s">
        <v>674</v>
      </c>
      <c r="C150" s="30"/>
      <c r="D150" s="30"/>
      <c r="E150" s="30"/>
      <c r="F150" s="30"/>
      <c r="G150" s="30"/>
      <c r="H150" s="30"/>
      <c r="I150" s="30"/>
      <c r="J150" s="184"/>
      <c r="K150" s="184"/>
      <c r="L150" s="184"/>
      <c r="M150" s="184"/>
      <c r="N150" s="184"/>
      <c r="O150" s="184"/>
      <c r="P150" s="184"/>
      <c r="Q150" s="184"/>
      <c r="R150" s="184"/>
      <c r="S150" s="184"/>
      <c r="T150" s="184"/>
      <c r="U150" s="184"/>
      <c r="V150" s="184"/>
      <c r="W150" s="184"/>
      <c r="X150" s="184"/>
      <c r="Y150" s="184"/>
      <c r="Z150" s="184"/>
      <c r="AA150" s="184"/>
      <c r="AB150" s="184"/>
      <c r="AC150" s="30"/>
      <c r="AD150" s="30"/>
    </row>
    <row r="151" spans="2:30" x14ac:dyDescent="0.25">
      <c r="C151" s="205"/>
      <c r="D151"/>
      <c r="E151"/>
      <c r="J151" s="89"/>
      <c r="K151" s="89"/>
      <c r="L151" s="89"/>
      <c r="M151" s="89"/>
      <c r="N151" s="89"/>
      <c r="O151" s="89"/>
      <c r="P151" s="89"/>
      <c r="Q151" s="89"/>
      <c r="R151" s="89"/>
      <c r="S151" s="89"/>
      <c r="T151" s="89"/>
      <c r="U151" s="89"/>
      <c r="V151" s="89"/>
      <c r="W151" s="89"/>
      <c r="X151" s="89"/>
      <c r="Y151" s="89"/>
      <c r="Z151" s="89"/>
      <c r="AA151" s="89"/>
      <c r="AB151" s="89"/>
    </row>
    <row r="152" spans="2:30" x14ac:dyDescent="0.25">
      <c r="C152" s="29" t="s">
        <v>675</v>
      </c>
      <c r="D152"/>
      <c r="E152"/>
      <c r="J152" s="89"/>
      <c r="K152" s="89"/>
      <c r="L152" s="89"/>
      <c r="M152" s="89"/>
      <c r="N152" s="89"/>
      <c r="O152" s="89"/>
      <c r="P152" s="89"/>
      <c r="Q152" s="89"/>
      <c r="R152" s="89"/>
      <c r="S152" s="89"/>
      <c r="T152" s="89"/>
      <c r="U152" s="89"/>
      <c r="V152" s="89"/>
      <c r="W152" s="89"/>
      <c r="X152" s="89"/>
      <c r="Y152" s="89"/>
      <c r="Z152" s="89"/>
      <c r="AA152" s="89"/>
      <c r="AB152" s="89"/>
    </row>
    <row r="153" spans="2:30" x14ac:dyDescent="0.25">
      <c r="C153" s="29" t="s">
        <v>676</v>
      </c>
      <c r="D153"/>
      <c r="E153"/>
      <c r="J153" s="89"/>
      <c r="K153" s="89"/>
      <c r="L153" s="89"/>
      <c r="M153" s="89"/>
      <c r="N153" s="89"/>
      <c r="O153" s="89"/>
      <c r="P153" s="89"/>
      <c r="Q153" s="89"/>
      <c r="R153" s="89"/>
      <c r="S153" s="89"/>
      <c r="T153" s="89"/>
      <c r="U153" s="89"/>
      <c r="V153" s="89"/>
      <c r="W153" s="89"/>
      <c r="X153" s="89"/>
      <c r="Y153" s="89"/>
      <c r="Z153" s="89"/>
      <c r="AA153" s="89"/>
      <c r="AB153" s="89"/>
    </row>
    <row r="154" spans="2:30" x14ac:dyDescent="0.25">
      <c r="C154" s="205"/>
      <c r="D154"/>
      <c r="E154"/>
      <c r="J154" s="89"/>
      <c r="K154" s="89"/>
      <c r="L154" s="89"/>
      <c r="M154" s="89"/>
      <c r="N154" s="89"/>
      <c r="O154" s="89"/>
      <c r="P154" s="89"/>
      <c r="Q154" s="89"/>
      <c r="R154" s="89"/>
      <c r="S154" s="89"/>
      <c r="T154" s="89"/>
      <c r="U154" s="89"/>
      <c r="V154" s="89"/>
      <c r="W154" s="89"/>
      <c r="X154" s="89"/>
      <c r="Y154" s="89"/>
      <c r="Z154" s="89"/>
      <c r="AA154" s="89"/>
      <c r="AB154" s="89"/>
    </row>
    <row r="155" spans="2:30" x14ac:dyDescent="0.25">
      <c r="C155" s="31" t="str">
        <f ca="1">INDEX('Version control'!$H$34:$H$57,MATCH($A$1,'Version control'!$F$34:$F$57,0),1)&amp;"-C: Yardstick charge used for generation"</f>
        <v>Section 112-C: Yardstick charge used for generation</v>
      </c>
      <c r="D155" s="31"/>
      <c r="E155" s="31"/>
      <c r="F155" s="31"/>
      <c r="G155" s="31"/>
      <c r="H155" s="31"/>
      <c r="I155" s="31"/>
      <c r="J155" s="90"/>
      <c r="K155" s="90"/>
      <c r="L155" s="90"/>
      <c r="M155" s="90"/>
      <c r="N155" s="90"/>
      <c r="O155" s="90"/>
      <c r="P155" s="90"/>
      <c r="Q155" s="90"/>
      <c r="R155" s="90"/>
      <c r="S155" s="90"/>
      <c r="T155" s="90"/>
      <c r="U155" s="90"/>
      <c r="V155" s="90"/>
      <c r="W155" s="90"/>
      <c r="X155" s="90"/>
      <c r="Y155" s="90"/>
      <c r="Z155" s="90"/>
      <c r="AA155" s="90"/>
      <c r="AB155" s="90"/>
      <c r="AC155" s="31"/>
      <c r="AD155" s="31"/>
    </row>
    <row r="156" spans="2:30" x14ac:dyDescent="0.25">
      <c r="D156" s="32"/>
      <c r="E156" s="32"/>
      <c r="I156" t="s">
        <v>153</v>
      </c>
      <c r="J156" s="89"/>
      <c r="K156" s="89"/>
      <c r="L156" s="89"/>
      <c r="M156" s="89"/>
      <c r="N156" s="89"/>
      <c r="O156" s="89"/>
      <c r="P156" s="89"/>
      <c r="Q156" s="89"/>
      <c r="R156" s="89"/>
      <c r="S156" s="89"/>
      <c r="T156" s="89"/>
      <c r="U156" s="89"/>
      <c r="V156" s="89"/>
      <c r="W156" s="89"/>
      <c r="X156" s="89"/>
      <c r="Y156" s="89"/>
      <c r="Z156" s="89"/>
      <c r="AA156" s="89"/>
      <c r="AB156" s="89"/>
      <c r="AD156" t="s">
        <v>677</v>
      </c>
    </row>
    <row r="157" spans="2:30" x14ac:dyDescent="0.25">
      <c r="D157"/>
      <c r="E157" s="32" t="s">
        <v>620</v>
      </c>
      <c r="J157" s="89"/>
      <c r="K157" s="89"/>
      <c r="L157" s="89"/>
      <c r="M157" s="89"/>
      <c r="N157" s="89"/>
      <c r="O157" s="89"/>
      <c r="P157" s="89"/>
      <c r="Q157" s="89"/>
      <c r="R157" s="89"/>
      <c r="S157" s="89"/>
      <c r="T157" s="89"/>
      <c r="U157" s="89"/>
      <c r="V157" s="89"/>
      <c r="W157" s="89"/>
      <c r="X157" s="89"/>
      <c r="Y157" s="89"/>
      <c r="Z157" s="89"/>
      <c r="AA157" s="89"/>
      <c r="AB157" s="89"/>
    </row>
    <row r="158" spans="2:30" x14ac:dyDescent="0.25">
      <c r="D158"/>
      <c r="F158" s="23" t="s">
        <v>188</v>
      </c>
      <c r="G158" s="23" t="s">
        <v>268</v>
      </c>
      <c r="H158" s="269"/>
      <c r="I158" s="269"/>
      <c r="J158" s="287"/>
      <c r="K158" s="287"/>
      <c r="L158" s="287"/>
      <c r="M158" s="287"/>
      <c r="N158" s="287"/>
      <c r="O158" s="287"/>
      <c r="P158" s="287"/>
      <c r="Q158" s="287"/>
      <c r="R158" s="287"/>
      <c r="S158" s="287"/>
      <c r="T158" s="287"/>
      <c r="U158" s="287"/>
      <c r="V158" s="287"/>
      <c r="W158" s="287"/>
      <c r="X158" s="287"/>
      <c r="Y158" s="287"/>
      <c r="Z158" s="287"/>
      <c r="AA158" s="287"/>
      <c r="AB158" s="287"/>
      <c r="AC158" s="271"/>
      <c r="AD158" s="271"/>
    </row>
    <row r="159" spans="2:30" x14ac:dyDescent="0.25">
      <c r="D159"/>
      <c r="F159" t="s">
        <v>190</v>
      </c>
      <c r="G159" t="s">
        <v>268</v>
      </c>
      <c r="H159" s="271"/>
      <c r="I159" s="271"/>
      <c r="J159" s="272"/>
      <c r="K159" s="272"/>
      <c r="L159" s="272"/>
      <c r="M159" s="272"/>
      <c r="N159" s="272"/>
      <c r="O159" s="272"/>
      <c r="P159" s="272"/>
      <c r="Q159" s="272"/>
      <c r="R159" s="272"/>
      <c r="S159" s="272"/>
      <c r="T159" s="272"/>
      <c r="U159" s="272"/>
      <c r="V159" s="272"/>
      <c r="W159" s="272"/>
      <c r="X159" s="272"/>
      <c r="Y159" s="272"/>
      <c r="Z159" s="272"/>
      <c r="AA159" s="272"/>
      <c r="AB159" s="272"/>
      <c r="AC159" s="271"/>
      <c r="AD159" s="271"/>
    </row>
    <row r="160" spans="2:30" x14ac:dyDescent="0.25">
      <c r="D160"/>
      <c r="F160" t="s">
        <v>191</v>
      </c>
      <c r="G160" t="s">
        <v>268</v>
      </c>
      <c r="H160" s="271"/>
      <c r="I160" s="271"/>
      <c r="J160" s="272"/>
      <c r="K160" s="272"/>
      <c r="L160" s="272"/>
      <c r="M160" s="272"/>
      <c r="N160" s="272"/>
      <c r="O160" s="272"/>
      <c r="P160" s="272"/>
      <c r="Q160" s="272"/>
      <c r="R160" s="272"/>
      <c r="S160" s="272"/>
      <c r="T160" s="272"/>
      <c r="U160" s="289">
        <f t="shared" ref="U160:V160" si="0">hundred * $H51 * U95 / $H37 * (1 - U109) / hours_in_year</f>
        <v>0</v>
      </c>
      <c r="V160" s="289">
        <f t="shared" si="0"/>
        <v>0</v>
      </c>
      <c r="W160" s="289">
        <f t="shared" ref="W160:X160" si="1">hundred * $H51 * W95 / $H37 * (1 - W109) / hours_in_year</f>
        <v>0</v>
      </c>
      <c r="X160" s="289">
        <f t="shared" si="1"/>
        <v>0</v>
      </c>
      <c r="Y160" s="289">
        <f t="shared" ref="Y160:Z160" si="2">hundred * $H51 * Y95 / $H37 * (1 - Y109) / hours_in_year</f>
        <v>0</v>
      </c>
      <c r="Z160" s="289">
        <f t="shared" si="2"/>
        <v>0</v>
      </c>
      <c r="AA160" s="289">
        <f t="shared" ref="AA160:AB160" si="3">hundred * $H51 * AA95 / $H37 * (1 - AA109) / hours_in_year</f>
        <v>0</v>
      </c>
      <c r="AB160" s="289">
        <f t="shared" si="3"/>
        <v>0</v>
      </c>
      <c r="AC160" s="271"/>
      <c r="AD160" s="271"/>
    </row>
    <row r="161" spans="5:30" customFormat="1" x14ac:dyDescent="0.25">
      <c r="E161" s="2"/>
      <c r="F161" t="s">
        <v>192</v>
      </c>
      <c r="G161" t="s">
        <v>268</v>
      </c>
      <c r="H161" s="271"/>
      <c r="I161" s="271"/>
      <c r="J161" s="272"/>
      <c r="K161" s="272"/>
      <c r="L161" s="272"/>
      <c r="M161" s="272"/>
      <c r="N161" s="272"/>
      <c r="O161" s="272"/>
      <c r="P161" s="272"/>
      <c r="Q161" s="272"/>
      <c r="R161" s="272"/>
      <c r="S161" s="272"/>
      <c r="T161" s="272"/>
      <c r="U161" s="289">
        <f t="shared" ref="U161:V161" si="4">hundred * $H52 * U96 / $H38 * (1 - U110) / hours_in_year</f>
        <v>0</v>
      </c>
      <c r="V161" s="289">
        <f t="shared" si="4"/>
        <v>0</v>
      </c>
      <c r="W161" s="289">
        <f t="shared" ref="W161:X161" si="5">hundred * $H52 * W96 / $H38 * (1 - W110) / hours_in_year</f>
        <v>0</v>
      </c>
      <c r="X161" s="289">
        <f t="shared" si="5"/>
        <v>0</v>
      </c>
      <c r="Y161" s="289">
        <f t="shared" ref="Y161:Z161" si="6">hundred * $H52 * Y96 / $H38 * (1 - Y110) / hours_in_year</f>
        <v>0</v>
      </c>
      <c r="Z161" s="289">
        <f t="shared" si="6"/>
        <v>0</v>
      </c>
      <c r="AA161" s="289">
        <f t="shared" ref="AA161:AB161" si="7">hundred * $H52 * AA96 / $H38 * (1 - AA110) / hours_in_year</f>
        <v>0</v>
      </c>
      <c r="AB161" s="289">
        <f t="shared" si="7"/>
        <v>0</v>
      </c>
      <c r="AC161" s="271"/>
      <c r="AD161" s="271"/>
    </row>
    <row r="162" spans="5:30" customFormat="1" x14ac:dyDescent="0.25">
      <c r="E162" s="2"/>
      <c r="F162" t="s">
        <v>193</v>
      </c>
      <c r="G162" t="s">
        <v>268</v>
      </c>
      <c r="H162" s="271"/>
      <c r="I162" s="271"/>
      <c r="J162" s="272"/>
      <c r="K162" s="272"/>
      <c r="L162" s="272"/>
      <c r="M162" s="272"/>
      <c r="N162" s="272"/>
      <c r="O162" s="272"/>
      <c r="P162" s="272"/>
      <c r="Q162" s="272"/>
      <c r="R162" s="272"/>
      <c r="S162" s="272"/>
      <c r="T162" s="272"/>
      <c r="U162" s="289">
        <f t="shared" ref="U162:V162" si="8">hundred * $H53 * U97 / $H39 * (1 - U111) / hours_in_year</f>
        <v>-0.15578010249269109</v>
      </c>
      <c r="V162" s="289">
        <f t="shared" si="8"/>
        <v>-0.14811878597665709</v>
      </c>
      <c r="W162" s="289">
        <f t="shared" ref="W162:X162" si="9">hundred * $H53 * W97 / $H39 * (1 - W111) / hours_in_year</f>
        <v>-0.15578010249269109</v>
      </c>
      <c r="X162" s="289">
        <f t="shared" si="9"/>
        <v>-0.15578010249269109</v>
      </c>
      <c r="Y162" s="289">
        <f t="shared" ref="Y162:Z162" si="10">hundred * $H53 * Y97 / $H39 * (1 - Y111) / hours_in_year</f>
        <v>-0.14811878597665709</v>
      </c>
      <c r="Z162" s="289">
        <f t="shared" si="10"/>
        <v>-0.14811878597665709</v>
      </c>
      <c r="AA162" s="289">
        <f t="shared" ref="AA162:AB162" si="11">hundred * $H53 * AA97 / $H39 * (1 - AA111) / hours_in_year</f>
        <v>-0.1410378722269893</v>
      </c>
      <c r="AB162" s="289">
        <f t="shared" si="11"/>
        <v>-0.1410378722269893</v>
      </c>
      <c r="AC162" s="271"/>
      <c r="AD162" s="271"/>
    </row>
    <row r="163" spans="5:30" customFormat="1" x14ac:dyDescent="0.25">
      <c r="E163" s="2"/>
      <c r="F163" t="s">
        <v>194</v>
      </c>
      <c r="G163" t="s">
        <v>268</v>
      </c>
      <c r="H163" s="271"/>
      <c r="I163" s="271"/>
      <c r="J163" s="272"/>
      <c r="K163" s="272"/>
      <c r="L163" s="272"/>
      <c r="M163" s="272"/>
      <c r="N163" s="272"/>
      <c r="O163" s="272"/>
      <c r="P163" s="272"/>
      <c r="Q163" s="272"/>
      <c r="R163" s="272"/>
      <c r="S163" s="272"/>
      <c r="T163" s="272"/>
      <c r="U163" s="289">
        <f t="shared" ref="U163:V163" si="12">hundred * $H54 * U98 / $H40 * (1 - U112) / hours_in_year</f>
        <v>-3.9917858854397206E-2</v>
      </c>
      <c r="V163" s="289">
        <f t="shared" si="12"/>
        <v>-3.7954685468115375E-2</v>
      </c>
      <c r="W163" s="289">
        <f t="shared" ref="W163:X163" si="13">hundred * $H54 * W98 / $H40 * (1 - W112) / hours_in_year</f>
        <v>-3.9917858854397206E-2</v>
      </c>
      <c r="X163" s="289">
        <f t="shared" si="13"/>
        <v>-3.9917858854397206E-2</v>
      </c>
      <c r="Y163" s="289">
        <f t="shared" ref="Y163:Z163" si="14">hundred * $H54 * Y98 / $H40 * (1 - Y112) / hours_in_year</f>
        <v>-3.7954685468115375E-2</v>
      </c>
      <c r="Z163" s="289">
        <f t="shared" si="14"/>
        <v>-3.7954685468115375E-2</v>
      </c>
      <c r="AA163" s="289">
        <f t="shared" ref="AA163:AB163" si="15">hundred * $H54 * AA98 / $H40 * (1 - AA112) / hours_in_year</f>
        <v>-3.1999079761388223E-2</v>
      </c>
      <c r="AB163" s="289">
        <f t="shared" si="15"/>
        <v>-3.1999079761388223E-2</v>
      </c>
      <c r="AC163" s="271"/>
      <c r="AD163" s="271"/>
    </row>
    <row r="164" spans="5:30" customFormat="1" x14ac:dyDescent="0.25">
      <c r="E164" s="2"/>
      <c r="F164" t="s">
        <v>195</v>
      </c>
      <c r="G164" t="s">
        <v>268</v>
      </c>
      <c r="H164" s="271"/>
      <c r="I164" s="271"/>
      <c r="J164" s="272"/>
      <c r="K164" s="272"/>
      <c r="L164" s="272"/>
      <c r="M164" s="272"/>
      <c r="N164" s="272"/>
      <c r="O164" s="272"/>
      <c r="P164" s="272"/>
      <c r="Q164" s="272"/>
      <c r="R164" s="272"/>
      <c r="S164" s="272"/>
      <c r="T164" s="272"/>
      <c r="U164" s="289">
        <f t="shared" ref="U164:V164" si="16">hundred * $H55 * U99 / $H41 * (1 - U113) / hours_in_year</f>
        <v>0</v>
      </c>
      <c r="V164" s="289">
        <f t="shared" si="16"/>
        <v>0</v>
      </c>
      <c r="W164" s="289">
        <f t="shared" ref="W164:X164" si="17">hundred * $H55 * W99 / $H41 * (1 - W113) / hours_in_year</f>
        <v>0</v>
      </c>
      <c r="X164" s="289">
        <f t="shared" si="17"/>
        <v>0</v>
      </c>
      <c r="Y164" s="289">
        <f t="shared" ref="Y164:Z164" si="18">hundred * $H55 * Y99 / $H41 * (1 - Y113) / hours_in_year</f>
        <v>0</v>
      </c>
      <c r="Z164" s="289">
        <f t="shared" si="18"/>
        <v>0</v>
      </c>
      <c r="AA164" s="289">
        <f t="shared" ref="AA164:AB164" si="19">hundred * $H55 * AA99 / $H41 * (1 - AA113) / hours_in_year</f>
        <v>0</v>
      </c>
      <c r="AB164" s="289">
        <f t="shared" si="19"/>
        <v>0</v>
      </c>
      <c r="AC164" s="271"/>
      <c r="AD164" s="271"/>
    </row>
    <row r="165" spans="5:30" customFormat="1" x14ac:dyDescent="0.25">
      <c r="E165" s="2"/>
      <c r="F165" t="s">
        <v>196</v>
      </c>
      <c r="G165" t="s">
        <v>268</v>
      </c>
      <c r="H165" s="271"/>
      <c r="I165" s="271"/>
      <c r="J165" s="272"/>
      <c r="K165" s="272"/>
      <c r="L165" s="272"/>
      <c r="M165" s="272"/>
      <c r="N165" s="272"/>
      <c r="O165" s="272"/>
      <c r="P165" s="272"/>
      <c r="Q165" s="272"/>
      <c r="R165" s="272"/>
      <c r="S165" s="272"/>
      <c r="T165" s="272"/>
      <c r="U165" s="289">
        <f t="shared" ref="U165:V165" si="20">hundred * $H56 * U100 / $H42 * (1 - U114) / hours_in_year</f>
        <v>-0.13727023487404083</v>
      </c>
      <c r="V165" s="289">
        <f t="shared" si="20"/>
        <v>-0.13051923971630108</v>
      </c>
      <c r="W165" s="289">
        <f t="shared" ref="W165:X165" si="21">hundred * $H56 * W100 / $H42 * (1 - W114) / hours_in_year</f>
        <v>-0.13727023487404083</v>
      </c>
      <c r="X165" s="289">
        <f t="shared" si="21"/>
        <v>-0.13727023487404083</v>
      </c>
      <c r="Y165" s="289">
        <f t="shared" ref="Y165:Z165" si="22">hundred * $H56 * Y100 / $H42 * (1 - Y114) / hours_in_year</f>
        <v>-0.13051923971630108</v>
      </c>
      <c r="Z165" s="289">
        <f t="shared" si="22"/>
        <v>-0.13051923971630108</v>
      </c>
      <c r="AA165" s="289">
        <f t="shared" ref="AA165:AB165" si="23">hundred * $H56 * AA100 / $H42 * (1 - AA114) / hours_in_year</f>
        <v>-8.8021403993619282E-2</v>
      </c>
      <c r="AB165" s="289">
        <f t="shared" si="23"/>
        <v>-8.8021403993619282E-2</v>
      </c>
      <c r="AC165" s="271"/>
      <c r="AD165" s="271"/>
    </row>
    <row r="166" spans="5:30" customFormat="1" x14ac:dyDescent="0.25">
      <c r="E166" s="2"/>
      <c r="F166" t="s">
        <v>197</v>
      </c>
      <c r="G166" t="s">
        <v>268</v>
      </c>
      <c r="H166" s="271"/>
      <c r="I166" s="271"/>
      <c r="J166" s="272"/>
      <c r="K166" s="272"/>
      <c r="L166" s="272"/>
      <c r="M166" s="272"/>
      <c r="N166" s="272"/>
      <c r="O166" s="272"/>
      <c r="P166" s="272"/>
      <c r="Q166" s="272"/>
      <c r="R166" s="272"/>
      <c r="S166" s="272"/>
      <c r="T166" s="272"/>
      <c r="U166" s="289">
        <f t="shared" ref="U166:V166" si="24">hundred * $H57 * U101 / $H43 * (1 - U115) / hours_in_year</f>
        <v>-3.1520426845242575E-2</v>
      </c>
      <c r="V166" s="289">
        <f t="shared" si="24"/>
        <v>-2.997024191842736E-2</v>
      </c>
      <c r="W166" s="289">
        <f t="shared" ref="W166:X166" si="25">hundred * $H57 * W101 / $H43 * (1 - W115) / hours_in_year</f>
        <v>-3.1520426845242575E-2</v>
      </c>
      <c r="X166" s="289">
        <f t="shared" si="25"/>
        <v>-3.1520426845242575E-2</v>
      </c>
      <c r="Y166" s="289">
        <f t="shared" ref="Y166:Z166" si="26">hundred * $H57 * Y101 / $H43 * (1 - Y115) / hours_in_year</f>
        <v>-2.997024191842736E-2</v>
      </c>
      <c r="Z166" s="289">
        <f t="shared" si="26"/>
        <v>-2.997024191842736E-2</v>
      </c>
      <c r="AA166" s="289">
        <f t="shared" ref="AA166:AB166" si="27">hundred * $H57 * AA101 / $H43 * (1 - AA115) / hours_in_year</f>
        <v>0</v>
      </c>
      <c r="AB166" s="289">
        <f t="shared" si="27"/>
        <v>0</v>
      </c>
      <c r="AC166" s="271"/>
      <c r="AD166" s="271"/>
    </row>
    <row r="167" spans="5:30" customFormat="1" x14ac:dyDescent="0.25">
      <c r="E167" s="2"/>
      <c r="F167" t="s">
        <v>198</v>
      </c>
      <c r="G167" t="s">
        <v>268</v>
      </c>
      <c r="H167" s="271"/>
      <c r="I167" s="271"/>
      <c r="J167" s="272"/>
      <c r="K167" s="272"/>
      <c r="L167" s="272"/>
      <c r="M167" s="272"/>
      <c r="N167" s="272"/>
      <c r="O167" s="272"/>
      <c r="P167" s="272"/>
      <c r="Q167" s="272"/>
      <c r="R167" s="272"/>
      <c r="S167" s="272"/>
      <c r="T167" s="272"/>
      <c r="U167" s="289">
        <f t="shared" ref="U167:V167" si="28">hundred * $H58 * U102 / $H44 * (1 - U116) / hours_in_year</f>
        <v>-5.5378297829985776E-3</v>
      </c>
      <c r="V167" s="289">
        <f t="shared" si="28"/>
        <v>0</v>
      </c>
      <c r="W167" s="289">
        <f t="shared" ref="W167:X167" si="29">hundred * $H58 * W102 / $H44 * (1 - W116) / hours_in_year</f>
        <v>-5.5378297829985776E-3</v>
      </c>
      <c r="X167" s="289">
        <f t="shared" si="29"/>
        <v>-5.5378297829985776E-3</v>
      </c>
      <c r="Y167" s="289">
        <f t="shared" ref="Y167:Z167" si="30">hundred * $H58 * Y102 / $H44 * (1 - Y116) / hours_in_year</f>
        <v>0</v>
      </c>
      <c r="Z167" s="289">
        <f t="shared" si="30"/>
        <v>0</v>
      </c>
      <c r="AA167" s="289">
        <f t="shared" ref="AA167:AB167" si="31">hundred * $H58 * AA102 / $H44 * (1 - AA116) / hours_in_year</f>
        <v>0</v>
      </c>
      <c r="AB167" s="289">
        <f t="shared" si="31"/>
        <v>0</v>
      </c>
      <c r="AC167" s="271"/>
      <c r="AD167" s="271"/>
    </row>
    <row r="168" spans="5:30" customFormat="1" x14ac:dyDescent="0.25">
      <c r="E168" s="2"/>
      <c r="F168" t="s">
        <v>375</v>
      </c>
      <c r="G168" t="s">
        <v>268</v>
      </c>
      <c r="H168" s="271"/>
      <c r="I168" s="271"/>
      <c r="J168" s="272"/>
      <c r="K168" s="272"/>
      <c r="L168" s="272"/>
      <c r="M168" s="272"/>
      <c r="N168" s="272"/>
      <c r="O168" s="272"/>
      <c r="P168" s="272"/>
      <c r="Q168" s="272"/>
      <c r="R168" s="272"/>
      <c r="S168" s="272"/>
      <c r="T168" s="272"/>
      <c r="U168" s="272"/>
      <c r="V168" s="272"/>
      <c r="W168" s="272"/>
      <c r="X168" s="272"/>
      <c r="Y168" s="272"/>
      <c r="Z168" s="272"/>
      <c r="AA168" s="272"/>
      <c r="AB168" s="272"/>
      <c r="AC168" s="271"/>
      <c r="AD168" s="271"/>
    </row>
    <row r="169" spans="5:30" customFormat="1" x14ac:dyDescent="0.25">
      <c r="E169" s="2"/>
      <c r="F169" s="37" t="s">
        <v>376</v>
      </c>
      <c r="G169" s="37" t="s">
        <v>268</v>
      </c>
      <c r="H169" s="275"/>
      <c r="I169" s="275"/>
      <c r="J169" s="276"/>
      <c r="K169" s="276"/>
      <c r="L169" s="276"/>
      <c r="M169" s="276"/>
      <c r="N169" s="276"/>
      <c r="O169" s="276"/>
      <c r="P169" s="276"/>
      <c r="Q169" s="276"/>
      <c r="R169" s="276"/>
      <c r="S169" s="276"/>
      <c r="T169" s="276"/>
      <c r="U169" s="276"/>
      <c r="V169" s="276"/>
      <c r="W169" s="276"/>
      <c r="X169" s="276"/>
      <c r="Y169" s="276"/>
      <c r="Z169" s="276"/>
      <c r="AA169" s="276"/>
      <c r="AB169" s="276"/>
      <c r="AC169" s="271"/>
      <c r="AD169" s="271"/>
    </row>
    <row r="170" spans="5:30" customFormat="1" x14ac:dyDescent="0.25">
      <c r="E170" s="2"/>
      <c r="J170" s="89"/>
      <c r="K170" s="89"/>
      <c r="L170" s="89"/>
      <c r="M170" s="89"/>
      <c r="N170" s="89"/>
      <c r="O170" s="89"/>
      <c r="P170" s="89"/>
      <c r="Q170" s="89"/>
      <c r="R170" s="89"/>
      <c r="S170" s="89"/>
      <c r="T170" s="89"/>
      <c r="U170" s="89"/>
      <c r="V170" s="89"/>
      <c r="W170" s="89"/>
      <c r="X170" s="89"/>
      <c r="Y170" s="89"/>
      <c r="Z170" s="89"/>
      <c r="AA170" s="89"/>
      <c r="AB170" s="89"/>
    </row>
    <row r="171" spans="5:30" customFormat="1" x14ac:dyDescent="0.25">
      <c r="E171" s="32" t="s">
        <v>621</v>
      </c>
      <c r="J171" s="89"/>
      <c r="K171" s="89"/>
      <c r="L171" s="89"/>
      <c r="M171" s="89"/>
      <c r="N171" s="89"/>
      <c r="O171" s="89"/>
      <c r="P171" s="89"/>
      <c r="Q171" s="89"/>
      <c r="R171" s="89"/>
      <c r="S171" s="89"/>
      <c r="T171" s="89"/>
      <c r="U171" s="89"/>
      <c r="V171" s="89"/>
      <c r="W171" s="89"/>
      <c r="X171" s="89"/>
      <c r="Y171" s="89"/>
      <c r="Z171" s="89"/>
      <c r="AA171" s="89"/>
      <c r="AB171" s="89"/>
    </row>
    <row r="172" spans="5:30" customFormat="1" x14ac:dyDescent="0.25">
      <c r="E172" s="2"/>
      <c r="F172" s="23" t="s">
        <v>188</v>
      </c>
      <c r="G172" s="23" t="s">
        <v>268</v>
      </c>
      <c r="H172" s="269"/>
      <c r="I172" s="269"/>
      <c r="J172" s="287"/>
      <c r="K172" s="287"/>
      <c r="L172" s="287"/>
      <c r="M172" s="287"/>
      <c r="N172" s="287"/>
      <c r="O172" s="287"/>
      <c r="P172" s="287"/>
      <c r="Q172" s="287"/>
      <c r="R172" s="287"/>
      <c r="S172" s="287"/>
      <c r="T172" s="287"/>
      <c r="U172" s="288">
        <f t="shared" ref="U172:V172" si="32">hundred * $H63 * U93 / $H35 / hours_in_year</f>
        <v>-0.16266080083761941</v>
      </c>
      <c r="V172" s="288">
        <f t="shared" si="32"/>
        <v>-0.15466108932101516</v>
      </c>
      <c r="W172" s="288">
        <f t="shared" ref="W172:X172" si="33">hundred * $H63 * W93 / $H35 / hours_in_year</f>
        <v>-0.16266080083761941</v>
      </c>
      <c r="X172" s="288">
        <f t="shared" si="33"/>
        <v>-0.16266080083761941</v>
      </c>
      <c r="Y172" s="288">
        <f t="shared" ref="Y172:Z172" si="34">hundred * $H63 * Y93 / $H35 / hours_in_year</f>
        <v>-0.15466108932101516</v>
      </c>
      <c r="Z172" s="288">
        <f t="shared" si="34"/>
        <v>-0.15466108932101516</v>
      </c>
      <c r="AA172" s="288">
        <f t="shared" ref="AA172:AB172" si="35">hundred * $H63 * AA93 / $H35 / hours_in_year</f>
        <v>-0.1519945188154804</v>
      </c>
      <c r="AB172" s="288">
        <f t="shared" si="35"/>
        <v>-0.1519945188154804</v>
      </c>
      <c r="AC172" s="271"/>
      <c r="AD172" s="271"/>
    </row>
    <row r="173" spans="5:30" customFormat="1" x14ac:dyDescent="0.25">
      <c r="E173" s="2"/>
      <c r="F173" t="s">
        <v>190</v>
      </c>
      <c r="G173" t="s">
        <v>268</v>
      </c>
      <c r="H173" s="271"/>
      <c r="I173" s="271"/>
      <c r="J173" s="272"/>
      <c r="K173" s="272"/>
      <c r="L173" s="272"/>
      <c r="M173" s="272"/>
      <c r="N173" s="272"/>
      <c r="O173" s="272"/>
      <c r="P173" s="272"/>
      <c r="Q173" s="272"/>
      <c r="R173" s="272"/>
      <c r="S173" s="272"/>
      <c r="T173" s="272"/>
      <c r="U173" s="289">
        <f t="shared" ref="U173:V173" si="36">hundred * $H64 * U94 / $H36 / hours_in_year</f>
        <v>0</v>
      </c>
      <c r="V173" s="289">
        <f t="shared" si="36"/>
        <v>0</v>
      </c>
      <c r="W173" s="289">
        <f t="shared" ref="W173:X173" si="37">hundred * $H64 * W94 / $H36 / hours_in_year</f>
        <v>0</v>
      </c>
      <c r="X173" s="289">
        <f t="shared" si="37"/>
        <v>0</v>
      </c>
      <c r="Y173" s="289">
        <f t="shared" ref="Y173:Z173" si="38">hundred * $H64 * Y94 / $H36 / hours_in_year</f>
        <v>0</v>
      </c>
      <c r="Z173" s="289">
        <f t="shared" si="38"/>
        <v>0</v>
      </c>
      <c r="AA173" s="289">
        <f t="shared" ref="AA173:AB173" si="39">hundred * $H64 * AA94 / $H36 / hours_in_year</f>
        <v>0</v>
      </c>
      <c r="AB173" s="289">
        <f t="shared" si="39"/>
        <v>0</v>
      </c>
      <c r="AC173" s="271"/>
      <c r="AD173" s="271"/>
    </row>
    <row r="174" spans="5:30" customFormat="1" x14ac:dyDescent="0.25">
      <c r="E174" s="2"/>
      <c r="F174" t="s">
        <v>191</v>
      </c>
      <c r="G174" t="s">
        <v>268</v>
      </c>
      <c r="H174" s="271"/>
      <c r="I174" s="271"/>
      <c r="J174" s="272"/>
      <c r="K174" s="272"/>
      <c r="L174" s="272"/>
      <c r="M174" s="272"/>
      <c r="N174" s="272"/>
      <c r="O174" s="272"/>
      <c r="P174" s="272"/>
      <c r="Q174" s="272"/>
      <c r="R174" s="272"/>
      <c r="S174" s="272"/>
      <c r="T174" s="272"/>
      <c r="U174" s="289">
        <f t="shared" ref="U174:V174" si="40">hundred * $H65 * U95 / $H37 / hours_in_year</f>
        <v>0</v>
      </c>
      <c r="V174" s="289">
        <f t="shared" si="40"/>
        <v>0</v>
      </c>
      <c r="W174" s="289">
        <f t="shared" ref="W174:X174" si="41">hundred * $H65 * W95 / $H37 / hours_in_year</f>
        <v>0</v>
      </c>
      <c r="X174" s="289">
        <f t="shared" si="41"/>
        <v>0</v>
      </c>
      <c r="Y174" s="289">
        <f t="shared" ref="Y174:Z174" si="42">hundred * $H65 * Y95 / $H37 / hours_in_year</f>
        <v>0</v>
      </c>
      <c r="Z174" s="289">
        <f t="shared" si="42"/>
        <v>0</v>
      </c>
      <c r="AA174" s="289">
        <f t="shared" ref="AA174:AB174" si="43">hundred * $H65 * AA95 / $H37 / hours_in_year</f>
        <v>0</v>
      </c>
      <c r="AB174" s="289">
        <f t="shared" si="43"/>
        <v>0</v>
      </c>
      <c r="AC174" s="271"/>
      <c r="AD174" s="271"/>
    </row>
    <row r="175" spans="5:30" customFormat="1" x14ac:dyDescent="0.25">
      <c r="E175" s="2"/>
      <c r="F175" t="s">
        <v>192</v>
      </c>
      <c r="G175" t="s">
        <v>268</v>
      </c>
      <c r="H175" s="271"/>
      <c r="I175" s="271"/>
      <c r="J175" s="272"/>
      <c r="K175" s="272"/>
      <c r="L175" s="272"/>
      <c r="M175" s="272"/>
      <c r="N175" s="272"/>
      <c r="O175" s="272"/>
      <c r="P175" s="272"/>
      <c r="Q175" s="272"/>
      <c r="R175" s="272"/>
      <c r="S175" s="272"/>
      <c r="T175" s="272"/>
      <c r="U175" s="289">
        <f t="shared" ref="U175:V175" si="44">hundred * $H66 * U96 / $H38 / hours_in_year</f>
        <v>0</v>
      </c>
      <c r="V175" s="289">
        <f t="shared" si="44"/>
        <v>0</v>
      </c>
      <c r="W175" s="289">
        <f t="shared" ref="W175:X175" si="45">hundred * $H66 * W96 / $H38 / hours_in_year</f>
        <v>0</v>
      </c>
      <c r="X175" s="289">
        <f t="shared" si="45"/>
        <v>0</v>
      </c>
      <c r="Y175" s="289">
        <f t="shared" ref="Y175:Z175" si="46">hundred * $H66 * Y96 / $H38 / hours_in_year</f>
        <v>0</v>
      </c>
      <c r="Z175" s="289">
        <f t="shared" si="46"/>
        <v>0</v>
      </c>
      <c r="AA175" s="289">
        <f t="shared" ref="AA175:AB175" si="47">hundred * $H66 * AA96 / $H38 / hours_in_year</f>
        <v>0</v>
      </c>
      <c r="AB175" s="289">
        <f t="shared" si="47"/>
        <v>0</v>
      </c>
      <c r="AC175" s="271"/>
      <c r="AD175" s="271"/>
    </row>
    <row r="176" spans="5:30" customFormat="1" x14ac:dyDescent="0.25">
      <c r="E176" s="2"/>
      <c r="F176" t="s">
        <v>193</v>
      </c>
      <c r="G176" t="s">
        <v>268</v>
      </c>
      <c r="H176" s="271"/>
      <c r="I176" s="271"/>
      <c r="J176" s="272"/>
      <c r="K176" s="272"/>
      <c r="L176" s="272"/>
      <c r="M176" s="272"/>
      <c r="N176" s="272"/>
      <c r="O176" s="272"/>
      <c r="P176" s="272"/>
      <c r="Q176" s="272"/>
      <c r="R176" s="272"/>
      <c r="S176" s="272"/>
      <c r="T176" s="272"/>
      <c r="U176" s="289">
        <f t="shared" ref="U176:V176" si="48">hundred * $H67 * U97 / $H39 / hours_in_year</f>
        <v>-0.11512825419016834</v>
      </c>
      <c r="V176" s="289">
        <f t="shared" si="48"/>
        <v>-0.10946620890212727</v>
      </c>
      <c r="W176" s="289">
        <f t="shared" ref="W176:X176" si="49">hundred * $H67 * W97 / $H39 / hours_in_year</f>
        <v>-0.11512825419016834</v>
      </c>
      <c r="X176" s="289">
        <f t="shared" si="49"/>
        <v>-0.11512825419016834</v>
      </c>
      <c r="Y176" s="289">
        <f t="shared" ref="Y176:Z176" si="50">hundred * $H67 * Y97 / $H39 / hours_in_year</f>
        <v>-0.10946620890212727</v>
      </c>
      <c r="Z176" s="289">
        <f t="shared" si="50"/>
        <v>-0.10946620890212727</v>
      </c>
      <c r="AA176" s="289">
        <f t="shared" ref="AA176:AB176" si="51">hundred * $H67 * AA97 / $H39 / hours_in_year</f>
        <v>-0.10757886047278024</v>
      </c>
      <c r="AB176" s="289">
        <f t="shared" si="51"/>
        <v>-0.10757886047278024</v>
      </c>
      <c r="AC176" s="271"/>
      <c r="AD176" s="271"/>
    </row>
    <row r="177" spans="2:30" x14ac:dyDescent="0.25">
      <c r="D177"/>
      <c r="F177" t="s">
        <v>194</v>
      </c>
      <c r="G177" t="s">
        <v>268</v>
      </c>
      <c r="H177" s="271"/>
      <c r="I177" s="271"/>
      <c r="J177" s="272"/>
      <c r="K177" s="272"/>
      <c r="L177" s="272"/>
      <c r="M177" s="272"/>
      <c r="N177" s="272"/>
      <c r="O177" s="272"/>
      <c r="P177" s="272"/>
      <c r="Q177" s="272"/>
      <c r="R177" s="272"/>
      <c r="S177" s="272"/>
      <c r="T177" s="272"/>
      <c r="U177" s="289">
        <f t="shared" ref="U177:V177" si="52">hundred * $H68 * U98 / $H40 / hours_in_year</f>
        <v>-2.9501029511339059E-2</v>
      </c>
      <c r="V177" s="289">
        <f t="shared" si="52"/>
        <v>-2.8050159207502711E-2</v>
      </c>
      <c r="W177" s="289">
        <f t="shared" ref="W177:X177" si="53">hundred * $H68 * W98 / $H40 / hours_in_year</f>
        <v>-2.9501029511339059E-2</v>
      </c>
      <c r="X177" s="289">
        <f t="shared" si="53"/>
        <v>-2.9501029511339059E-2</v>
      </c>
      <c r="Y177" s="289">
        <f t="shared" ref="Y177:Z177" si="54">hundred * $H68 * Y98 / $H40 / hours_in_year</f>
        <v>-2.8050159207502711E-2</v>
      </c>
      <c r="Z177" s="289">
        <f t="shared" si="54"/>
        <v>-2.8050159207502711E-2</v>
      </c>
      <c r="AA177" s="289">
        <f t="shared" ref="AA177:AB177" si="55">hundred * $H68 * AA98 / $H40 / hours_in_year</f>
        <v>-2.7566535772890595E-2</v>
      </c>
      <c r="AB177" s="289">
        <f t="shared" si="55"/>
        <v>-2.7566535772890595E-2</v>
      </c>
      <c r="AC177" s="271"/>
      <c r="AD177" s="271"/>
    </row>
    <row r="178" spans="2:30" x14ac:dyDescent="0.25">
      <c r="D178"/>
      <c r="F178" t="s">
        <v>195</v>
      </c>
      <c r="G178" t="s">
        <v>268</v>
      </c>
      <c r="H178" s="271"/>
      <c r="I178" s="271"/>
      <c r="J178" s="272"/>
      <c r="K178" s="272"/>
      <c r="L178" s="272"/>
      <c r="M178" s="272"/>
      <c r="N178" s="272"/>
      <c r="O178" s="272"/>
      <c r="P178" s="272"/>
      <c r="Q178" s="272"/>
      <c r="R178" s="272"/>
      <c r="S178" s="272"/>
      <c r="T178" s="272"/>
      <c r="U178" s="289">
        <f t="shared" ref="U178:V178" si="56">hundred * $H69 * U99 / $H41 / hours_in_year</f>
        <v>0</v>
      </c>
      <c r="V178" s="289">
        <f t="shared" si="56"/>
        <v>0</v>
      </c>
      <c r="W178" s="289">
        <f t="shared" ref="W178:X178" si="57">hundred * $H69 * W99 / $H41 / hours_in_year</f>
        <v>0</v>
      </c>
      <c r="X178" s="289">
        <f t="shared" si="57"/>
        <v>0</v>
      </c>
      <c r="Y178" s="289">
        <f t="shared" ref="Y178:Z178" si="58">hundred * $H69 * Y99 / $H41 / hours_in_year</f>
        <v>0</v>
      </c>
      <c r="Z178" s="289">
        <f t="shared" si="58"/>
        <v>0</v>
      </c>
      <c r="AA178" s="289">
        <f t="shared" ref="AA178:AB178" si="59">hundred * $H69 * AA99 / $H41 / hours_in_year</f>
        <v>0</v>
      </c>
      <c r="AB178" s="289">
        <f t="shared" si="59"/>
        <v>0</v>
      </c>
      <c r="AC178" s="271"/>
      <c r="AD178" s="271"/>
    </row>
    <row r="179" spans="2:30" x14ac:dyDescent="0.25">
      <c r="D179"/>
      <c r="F179" t="s">
        <v>196</v>
      </c>
      <c r="G179" t="s">
        <v>268</v>
      </c>
      <c r="H179" s="271"/>
      <c r="I179" s="271"/>
      <c r="J179" s="272"/>
      <c r="K179" s="272"/>
      <c r="L179" s="272"/>
      <c r="M179" s="272"/>
      <c r="N179" s="272"/>
      <c r="O179" s="272"/>
      <c r="P179" s="272"/>
      <c r="Q179" s="272"/>
      <c r="R179" s="272"/>
      <c r="S179" s="272"/>
      <c r="T179" s="272"/>
      <c r="U179" s="289">
        <f t="shared" ref="U179:V179" si="60">hundred * $H70 * U100 / $H42 / hours_in_year</f>
        <v>-0.1269142554165886</v>
      </c>
      <c r="V179" s="289">
        <f t="shared" si="60"/>
        <v>-0.12067257072396949</v>
      </c>
      <c r="W179" s="289">
        <f t="shared" ref="W179:X179" si="61">hundred * $H70 * W100 / $H42 / hours_in_year</f>
        <v>-0.1269142554165886</v>
      </c>
      <c r="X179" s="289">
        <f t="shared" si="61"/>
        <v>-0.1269142554165886</v>
      </c>
      <c r="Y179" s="289">
        <f t="shared" ref="Y179:Z179" si="62">hundred * $H70 * Y100 / $H42 / hours_in_year</f>
        <v>-0.12067257072396949</v>
      </c>
      <c r="Z179" s="289">
        <f t="shared" si="62"/>
        <v>-0.12067257072396949</v>
      </c>
      <c r="AA179" s="289">
        <f t="shared" ref="AA179:AB179" si="63">hundred * $H70 * AA100 / $H42 / hours_in_year</f>
        <v>-0.1185920091597631</v>
      </c>
      <c r="AB179" s="289">
        <f t="shared" si="63"/>
        <v>-0.1185920091597631</v>
      </c>
      <c r="AC179" s="271"/>
      <c r="AD179" s="271"/>
    </row>
    <row r="180" spans="2:30" x14ac:dyDescent="0.25">
      <c r="D180"/>
      <c r="F180" t="s">
        <v>197</v>
      </c>
      <c r="G180" t="s">
        <v>268</v>
      </c>
      <c r="H180" s="271"/>
      <c r="I180" s="271"/>
      <c r="J180" s="272"/>
      <c r="K180" s="272"/>
      <c r="L180" s="272"/>
      <c r="M180" s="272"/>
      <c r="N180" s="272"/>
      <c r="O180" s="272"/>
      <c r="P180" s="272"/>
      <c r="Q180" s="272"/>
      <c r="R180" s="272"/>
      <c r="S180" s="272"/>
      <c r="T180" s="272"/>
      <c r="U180" s="289">
        <f t="shared" ref="U180:V180" si="64">hundred * $H71 * U101 / $H43 / hours_in_year</f>
        <v>-3.1897146017325434E-2</v>
      </c>
      <c r="V180" s="289">
        <f t="shared" si="64"/>
        <v>-3.0328433918112709E-2</v>
      </c>
      <c r="W180" s="289">
        <f t="shared" ref="W180:X180" si="65">hundred * $H71 * W101 / $H43 / hours_in_year</f>
        <v>-3.1897146017325434E-2</v>
      </c>
      <c r="X180" s="289">
        <f t="shared" si="65"/>
        <v>-3.1897146017325434E-2</v>
      </c>
      <c r="Y180" s="289">
        <f t="shared" ref="Y180:Z180" si="66">hundred * $H71 * Y101 / $H43 / hours_in_year</f>
        <v>-3.0328433918112709E-2</v>
      </c>
      <c r="Z180" s="289">
        <f t="shared" si="66"/>
        <v>-3.0328433918112709E-2</v>
      </c>
      <c r="AA180" s="289">
        <f t="shared" ref="AA180:AB180" si="67">hundred * $H71 * AA101 / $H43 / hours_in_year</f>
        <v>0</v>
      </c>
      <c r="AB180" s="289">
        <f t="shared" si="67"/>
        <v>0</v>
      </c>
      <c r="AC180" s="271"/>
      <c r="AD180" s="271"/>
    </row>
    <row r="181" spans="2:30" x14ac:dyDescent="0.25">
      <c r="D181"/>
      <c r="F181" t="s">
        <v>198</v>
      </c>
      <c r="G181" t="s">
        <v>268</v>
      </c>
      <c r="H181" s="271"/>
      <c r="I181" s="271"/>
      <c r="J181" s="272"/>
      <c r="K181" s="272"/>
      <c r="L181" s="272"/>
      <c r="M181" s="272"/>
      <c r="N181" s="272"/>
      <c r="O181" s="272"/>
      <c r="P181" s="272"/>
      <c r="Q181" s="272"/>
      <c r="R181" s="272"/>
      <c r="S181" s="272"/>
      <c r="T181" s="272"/>
      <c r="U181" s="289">
        <f t="shared" ref="U181:V181" si="68">hundred * $H72 * U102 / $H44 / hours_in_year</f>
        <v>-5.3652008059592762E-2</v>
      </c>
      <c r="V181" s="289">
        <f t="shared" si="68"/>
        <v>0</v>
      </c>
      <c r="W181" s="289">
        <f t="shared" ref="W181:X181" si="69">hundred * $H72 * W102 / $H44 / hours_in_year</f>
        <v>-5.3652008059592762E-2</v>
      </c>
      <c r="X181" s="289">
        <f t="shared" si="69"/>
        <v>-5.3652008059592762E-2</v>
      </c>
      <c r="Y181" s="289">
        <f t="shared" ref="Y181:Z181" si="70">hundred * $H72 * Y102 / $H44 / hours_in_year</f>
        <v>0</v>
      </c>
      <c r="Z181" s="289">
        <f t="shared" si="70"/>
        <v>0</v>
      </c>
      <c r="AA181" s="289">
        <f t="shared" ref="AA181:AB181" si="71">hundred * $H72 * AA102 / $H44 / hours_in_year</f>
        <v>0</v>
      </c>
      <c r="AB181" s="289">
        <f t="shared" si="71"/>
        <v>0</v>
      </c>
      <c r="AC181" s="271"/>
      <c r="AD181" s="271"/>
    </row>
    <row r="182" spans="2:30" x14ac:dyDescent="0.25">
      <c r="D182"/>
      <c r="F182" t="s">
        <v>375</v>
      </c>
      <c r="G182" t="s">
        <v>268</v>
      </c>
      <c r="H182" s="271"/>
      <c r="I182" s="271"/>
      <c r="J182" s="272"/>
      <c r="K182" s="272"/>
      <c r="L182" s="272"/>
      <c r="M182" s="272"/>
      <c r="N182" s="272"/>
      <c r="O182" s="272"/>
      <c r="P182" s="272"/>
      <c r="Q182" s="272"/>
      <c r="R182" s="272"/>
      <c r="S182" s="272"/>
      <c r="T182" s="272"/>
      <c r="U182" s="272"/>
      <c r="V182" s="272"/>
      <c r="W182" s="272"/>
      <c r="X182" s="272"/>
      <c r="Y182" s="272"/>
      <c r="Z182" s="272"/>
      <c r="AA182" s="272"/>
      <c r="AB182" s="272"/>
      <c r="AC182" s="271"/>
      <c r="AD182" s="271"/>
    </row>
    <row r="183" spans="2:30" x14ac:dyDescent="0.25">
      <c r="D183"/>
      <c r="F183" s="37" t="s">
        <v>376</v>
      </c>
      <c r="G183" s="37" t="s">
        <v>268</v>
      </c>
      <c r="H183" s="275"/>
      <c r="I183" s="275"/>
      <c r="J183" s="276"/>
      <c r="K183" s="276"/>
      <c r="L183" s="276"/>
      <c r="M183" s="276"/>
      <c r="N183" s="276"/>
      <c r="O183" s="276"/>
      <c r="P183" s="276"/>
      <c r="Q183" s="276"/>
      <c r="R183" s="276"/>
      <c r="S183" s="276"/>
      <c r="T183" s="276"/>
      <c r="U183" s="276"/>
      <c r="V183" s="276"/>
      <c r="W183" s="276"/>
      <c r="X183" s="276"/>
      <c r="Y183" s="276"/>
      <c r="Z183" s="276"/>
      <c r="AA183" s="276"/>
      <c r="AB183" s="276"/>
      <c r="AC183" s="271"/>
      <c r="AD183" s="271"/>
    </row>
    <row r="184" spans="2:30" x14ac:dyDescent="0.25">
      <c r="D184"/>
      <c r="E184"/>
      <c r="J184" s="89"/>
      <c r="K184" s="89"/>
      <c r="L184" s="89"/>
      <c r="M184" s="89"/>
      <c r="N184" s="89"/>
      <c r="O184" s="89"/>
      <c r="P184" s="89"/>
      <c r="Q184" s="89"/>
      <c r="R184" s="89"/>
      <c r="S184" s="89"/>
      <c r="T184" s="89"/>
      <c r="U184" s="89"/>
      <c r="V184" s="89"/>
      <c r="W184" s="89"/>
      <c r="X184" s="89"/>
      <c r="Y184" s="89"/>
      <c r="Z184" s="89"/>
      <c r="AA184" s="89"/>
      <c r="AB184" s="89"/>
    </row>
    <row r="185" spans="2:30" x14ac:dyDescent="0.25">
      <c r="B185" s="30" t="s">
        <v>678</v>
      </c>
      <c r="C185" s="30"/>
      <c r="D185" s="30"/>
      <c r="E185" s="30"/>
      <c r="F185" s="30"/>
      <c r="G185" s="30"/>
      <c r="H185" s="30"/>
      <c r="I185" s="30"/>
      <c r="J185" s="184"/>
      <c r="K185" s="184"/>
      <c r="L185" s="184"/>
      <c r="M185" s="184"/>
      <c r="N185" s="184"/>
      <c r="O185" s="184"/>
      <c r="P185" s="184"/>
      <c r="Q185" s="184"/>
      <c r="R185" s="184"/>
      <c r="S185" s="184"/>
      <c r="T185" s="184"/>
      <c r="U185" s="184"/>
      <c r="V185" s="184"/>
      <c r="W185" s="184"/>
      <c r="X185" s="184"/>
      <c r="Y185" s="184"/>
      <c r="Z185" s="184"/>
      <c r="AA185" s="184"/>
      <c r="AB185" s="184"/>
      <c r="AC185" s="30"/>
      <c r="AD185" s="30"/>
    </row>
    <row r="186" spans="2:30" x14ac:dyDescent="0.25">
      <c r="B186" s="206"/>
      <c r="J186" s="89"/>
      <c r="K186" s="89"/>
      <c r="L186" s="89"/>
      <c r="M186" s="89"/>
      <c r="N186" s="89"/>
      <c r="O186" s="89"/>
      <c r="P186" s="89"/>
      <c r="Q186" s="89"/>
      <c r="R186" s="89"/>
      <c r="S186" s="89"/>
      <c r="T186" s="89"/>
      <c r="U186" s="89"/>
      <c r="V186" s="89"/>
      <c r="W186" s="89"/>
      <c r="X186" s="89"/>
      <c r="Y186" s="89"/>
      <c r="Z186" s="89"/>
      <c r="AA186" s="89"/>
      <c r="AB186" s="89"/>
    </row>
    <row r="187" spans="2:30" x14ac:dyDescent="0.25">
      <c r="B187" s="206"/>
      <c r="C187" s="29" t="s">
        <v>679</v>
      </c>
      <c r="J187" s="89"/>
      <c r="K187" s="89"/>
      <c r="L187" s="89"/>
      <c r="M187" s="89"/>
      <c r="N187" s="89"/>
      <c r="O187" s="89"/>
      <c r="P187" s="89"/>
      <c r="Q187" s="89"/>
      <c r="R187" s="89"/>
      <c r="S187" s="89"/>
      <c r="T187" s="89"/>
      <c r="U187" s="89"/>
      <c r="V187" s="89"/>
      <c r="W187" s="89"/>
      <c r="X187" s="89"/>
      <c r="Y187" s="89"/>
      <c r="Z187" s="89"/>
      <c r="AA187" s="89"/>
      <c r="AB187" s="89"/>
    </row>
    <row r="188" spans="2:30" x14ac:dyDescent="0.25">
      <c r="B188" s="206"/>
      <c r="C188" s="29" t="s">
        <v>680</v>
      </c>
      <c r="I188" t="s">
        <v>153</v>
      </c>
      <c r="J188" s="89"/>
      <c r="K188" s="89"/>
      <c r="L188" s="89"/>
      <c r="M188" s="89"/>
      <c r="N188" s="89"/>
      <c r="O188" s="89"/>
      <c r="P188" s="89"/>
      <c r="Q188" s="89"/>
      <c r="R188" s="89"/>
      <c r="S188" s="89"/>
      <c r="T188" s="89"/>
      <c r="U188" s="89"/>
      <c r="V188" s="89"/>
      <c r="W188" s="89"/>
      <c r="X188" s="89"/>
      <c r="Y188" s="89"/>
      <c r="Z188" s="89"/>
      <c r="AA188" s="89"/>
      <c r="AB188" s="89"/>
      <c r="AD188" t="s">
        <v>681</v>
      </c>
    </row>
    <row r="189" spans="2:30" x14ac:dyDescent="0.25">
      <c r="B189" s="206"/>
      <c r="J189" s="89"/>
      <c r="K189" s="89"/>
      <c r="L189" s="89"/>
      <c r="M189" s="89"/>
      <c r="N189" s="89"/>
      <c r="O189" s="89"/>
      <c r="P189" s="89"/>
      <c r="Q189" s="89"/>
      <c r="R189" s="89"/>
      <c r="S189" s="89"/>
      <c r="T189" s="89"/>
      <c r="U189" s="89"/>
      <c r="V189" s="89"/>
      <c r="W189" s="89"/>
      <c r="X189" s="89"/>
      <c r="Y189" s="89"/>
      <c r="Z189" s="89"/>
      <c r="AA189" s="89"/>
      <c r="AB189" s="89"/>
    </row>
    <row r="190" spans="2:30" x14ac:dyDescent="0.25">
      <c r="C190" s="31" t="str">
        <f ca="1">INDEX('Version control'!$H$34:$H$57,MATCH($A$1,'Version control'!$F$34:$F$57,0),1)&amp;"-D: Reactive power charges, all customer categories"</f>
        <v>Section 112-D: Reactive power charges, all customer categories</v>
      </c>
      <c r="D190" s="31"/>
      <c r="E190" s="31"/>
      <c r="F190" s="31"/>
      <c r="G190" s="31"/>
      <c r="H190" s="31"/>
      <c r="I190" s="31"/>
      <c r="J190" s="90"/>
      <c r="K190" s="90"/>
      <c r="L190" s="90"/>
      <c r="M190" s="90"/>
      <c r="N190" s="90"/>
      <c r="O190" s="90"/>
      <c r="P190" s="90"/>
      <c r="Q190" s="90"/>
      <c r="R190" s="90"/>
      <c r="S190" s="90"/>
      <c r="T190" s="90"/>
      <c r="U190" s="90"/>
      <c r="V190" s="90"/>
      <c r="W190" s="90"/>
      <c r="X190" s="90"/>
      <c r="Y190" s="90"/>
      <c r="Z190" s="90"/>
      <c r="AA190" s="90"/>
      <c r="AB190" s="90"/>
      <c r="AC190" s="31"/>
      <c r="AD190" s="31"/>
    </row>
    <row r="191" spans="2:30" x14ac:dyDescent="0.25">
      <c r="C191" s="32"/>
      <c r="D191"/>
      <c r="E191" s="32"/>
      <c r="I191" t="s">
        <v>153</v>
      </c>
      <c r="J191" s="89"/>
      <c r="K191" s="89"/>
      <c r="L191" s="89"/>
      <c r="M191" s="89"/>
      <c r="N191" s="89"/>
      <c r="O191" s="89"/>
      <c r="P191" s="89"/>
      <c r="Q191" s="89"/>
      <c r="R191" s="89"/>
      <c r="S191" s="89"/>
      <c r="T191" s="89"/>
      <c r="U191" s="89"/>
      <c r="V191" s="89"/>
      <c r="W191" s="89"/>
      <c r="X191" s="89"/>
      <c r="Y191" s="89"/>
      <c r="Z191" s="89"/>
      <c r="AA191" s="89"/>
      <c r="AB191" s="89"/>
      <c r="AD191" t="s">
        <v>682</v>
      </c>
    </row>
    <row r="192" spans="2:30" x14ac:dyDescent="0.25">
      <c r="E192" s="32" t="s">
        <v>620</v>
      </c>
      <c r="J192" s="89"/>
      <c r="K192" s="89"/>
      <c r="L192" s="89"/>
      <c r="M192" s="89"/>
      <c r="N192" s="89"/>
      <c r="O192" s="89"/>
      <c r="P192" s="89"/>
      <c r="Q192" s="89"/>
      <c r="R192" s="89"/>
      <c r="S192" s="89"/>
      <c r="T192" s="89"/>
      <c r="U192" s="89"/>
      <c r="V192" s="89"/>
      <c r="W192" s="89"/>
      <c r="X192" s="89"/>
      <c r="Y192" s="89"/>
      <c r="Z192" s="89"/>
      <c r="AA192" s="89"/>
      <c r="AB192" s="89"/>
    </row>
    <row r="193" spans="4:30" x14ac:dyDescent="0.25">
      <c r="F193" s="23" t="s">
        <v>188</v>
      </c>
      <c r="G193" s="23" t="s">
        <v>271</v>
      </c>
      <c r="H193" s="269"/>
      <c r="I193" s="269"/>
      <c r="J193" s="287"/>
      <c r="K193" s="287"/>
      <c r="L193" s="287"/>
      <c r="M193" s="287"/>
      <c r="N193" s="287"/>
      <c r="O193" s="287"/>
      <c r="P193" s="287"/>
      <c r="Q193" s="287"/>
      <c r="R193" s="287"/>
      <c r="S193" s="287"/>
      <c r="T193" s="287"/>
      <c r="U193" s="287"/>
      <c r="V193" s="287"/>
      <c r="W193" s="287"/>
      <c r="X193" s="287"/>
      <c r="Y193" s="287"/>
      <c r="Z193" s="287"/>
      <c r="AA193" s="287"/>
      <c r="AB193" s="287"/>
      <c r="AC193" s="271"/>
      <c r="AD193" s="271"/>
    </row>
    <row r="194" spans="4:30" x14ac:dyDescent="0.25">
      <c r="F194" t="s">
        <v>190</v>
      </c>
      <c r="G194" t="s">
        <v>271</v>
      </c>
      <c r="H194" s="271"/>
      <c r="I194" s="271"/>
      <c r="J194" s="272"/>
      <c r="K194" s="272"/>
      <c r="L194" s="272"/>
      <c r="M194" s="272"/>
      <c r="N194" s="272"/>
      <c r="O194" s="272"/>
      <c r="P194" s="272"/>
      <c r="Q194" s="272"/>
      <c r="R194" s="272"/>
      <c r="S194" s="272"/>
      <c r="T194" s="272"/>
      <c r="U194" s="272"/>
      <c r="V194" s="272"/>
      <c r="W194" s="272"/>
      <c r="X194" s="272"/>
      <c r="Y194" s="272"/>
      <c r="Z194" s="272"/>
      <c r="AA194" s="272"/>
      <c r="AB194" s="272"/>
      <c r="AC194" s="271"/>
      <c r="AD194" s="271"/>
    </row>
    <row r="195" spans="4:30" x14ac:dyDescent="0.25">
      <c r="F195" t="s">
        <v>191</v>
      </c>
      <c r="G195" t="s">
        <v>271</v>
      </c>
      <c r="H195" s="271"/>
      <c r="I195" s="271"/>
      <c r="J195" s="289">
        <f t="shared" ref="J195:K195" si="72">ABS(J125 + J160)*(1-J82)*PowerFactor*$H23</f>
        <v>0</v>
      </c>
      <c r="K195" s="289">
        <f t="shared" si="72"/>
        <v>0</v>
      </c>
      <c r="L195" s="289">
        <f t="shared" ref="L195:M195" si="73">ABS(L125 + L160)*(1-L82)*PowerFactor*$H23</f>
        <v>0</v>
      </c>
      <c r="M195" s="289">
        <f t="shared" si="73"/>
        <v>0</v>
      </c>
      <c r="N195" s="289">
        <f t="shared" ref="N195:P195" si="74">ABS(N125 + N160)*(1-N82)*PowerFactor*$H23</f>
        <v>0</v>
      </c>
      <c r="O195" s="289">
        <f t="shared" si="74"/>
        <v>0</v>
      </c>
      <c r="P195" s="289">
        <f t="shared" si="74"/>
        <v>0</v>
      </c>
      <c r="Q195" s="289">
        <f t="shared" ref="Q195:S195" si="75">ABS(Q125 + Q160)*(1-Q82)*PowerFactor*$H23</f>
        <v>0</v>
      </c>
      <c r="R195" s="289">
        <f t="shared" si="75"/>
        <v>0</v>
      </c>
      <c r="S195" s="289">
        <f t="shared" si="75"/>
        <v>0</v>
      </c>
      <c r="T195" s="289">
        <f t="shared" ref="T195:V195" si="76">ABS(T125 + T160)*(1-T82)*PowerFactor*$H23</f>
        <v>0</v>
      </c>
      <c r="U195" s="289">
        <f t="shared" si="76"/>
        <v>0</v>
      </c>
      <c r="V195" s="289">
        <f t="shared" si="76"/>
        <v>0</v>
      </c>
      <c r="W195" s="289">
        <f t="shared" ref="W195:X195" si="77">ABS(W125 + W160)*(1-W82)*PowerFactor*$H23</f>
        <v>0</v>
      </c>
      <c r="X195" s="289">
        <f t="shared" si="77"/>
        <v>0</v>
      </c>
      <c r="Y195" s="289">
        <f t="shared" ref="Y195:Z195" si="78">ABS(Y125 + Y160)*(1-Y82)*PowerFactor*$H23</f>
        <v>0</v>
      </c>
      <c r="Z195" s="289">
        <f t="shared" si="78"/>
        <v>0</v>
      </c>
      <c r="AA195" s="289">
        <f t="shared" ref="AA195:AB195" si="79">ABS(AA125 + AA160)*(1-AA82)*PowerFactor*$H23</f>
        <v>0</v>
      </c>
      <c r="AB195" s="289">
        <f t="shared" si="79"/>
        <v>0</v>
      </c>
      <c r="AC195" s="271"/>
      <c r="AD195" s="271"/>
    </row>
    <row r="196" spans="4:30" x14ac:dyDescent="0.25">
      <c r="F196" t="s">
        <v>192</v>
      </c>
      <c r="G196" t="s">
        <v>271</v>
      </c>
      <c r="H196" s="271"/>
      <c r="I196" s="271"/>
      <c r="J196" s="289">
        <f t="shared" ref="J196:K196" si="80">ABS(J126 + J161)*(1-J83)*PowerFactor*$H24</f>
        <v>0</v>
      </c>
      <c r="K196" s="289">
        <f t="shared" si="80"/>
        <v>0</v>
      </c>
      <c r="L196" s="289">
        <f t="shared" ref="L196:M196" si="81">ABS(L126 + L161)*(1-L83)*PowerFactor*$H24</f>
        <v>0</v>
      </c>
      <c r="M196" s="289">
        <f t="shared" si="81"/>
        <v>0</v>
      </c>
      <c r="N196" s="289">
        <f t="shared" ref="N196:P196" si="82">ABS(N126 + N161)*(1-N83)*PowerFactor*$H24</f>
        <v>0</v>
      </c>
      <c r="O196" s="289">
        <f t="shared" si="82"/>
        <v>0</v>
      </c>
      <c r="P196" s="289">
        <f t="shared" si="82"/>
        <v>0</v>
      </c>
      <c r="Q196" s="289">
        <f t="shared" ref="Q196:S196" si="83">ABS(Q126 + Q161)*(1-Q83)*PowerFactor*$H24</f>
        <v>0</v>
      </c>
      <c r="R196" s="289">
        <f t="shared" si="83"/>
        <v>0</v>
      </c>
      <c r="S196" s="289">
        <f t="shared" si="83"/>
        <v>0</v>
      </c>
      <c r="T196" s="289">
        <f t="shared" ref="T196:V196" si="84">ABS(T126 + T161)*(1-T83)*PowerFactor*$H24</f>
        <v>0</v>
      </c>
      <c r="U196" s="289">
        <f t="shared" si="84"/>
        <v>0</v>
      </c>
      <c r="V196" s="289">
        <f t="shared" si="84"/>
        <v>0</v>
      </c>
      <c r="W196" s="289">
        <f t="shared" ref="W196:X196" si="85">ABS(W126 + W161)*(1-W83)*PowerFactor*$H24</f>
        <v>0</v>
      </c>
      <c r="X196" s="289">
        <f t="shared" si="85"/>
        <v>0</v>
      </c>
      <c r="Y196" s="289">
        <f t="shared" ref="Y196:Z196" si="86">ABS(Y126 + Y161)*(1-Y83)*PowerFactor*$H24</f>
        <v>0</v>
      </c>
      <c r="Z196" s="289">
        <f t="shared" si="86"/>
        <v>0</v>
      </c>
      <c r="AA196" s="289">
        <f t="shared" ref="AA196:AB196" si="87">ABS(AA126 + AA161)*(1-AA83)*PowerFactor*$H24</f>
        <v>0</v>
      </c>
      <c r="AB196" s="289">
        <f t="shared" si="87"/>
        <v>0</v>
      </c>
      <c r="AC196" s="271"/>
      <c r="AD196" s="271"/>
    </row>
    <row r="197" spans="4:30" x14ac:dyDescent="0.25">
      <c r="F197" t="s">
        <v>193</v>
      </c>
      <c r="G197" t="s">
        <v>271</v>
      </c>
      <c r="H197" s="271"/>
      <c r="I197" s="271"/>
      <c r="J197" s="289">
        <f t="shared" ref="J197:K197" si="88">ABS(J127 + J162)*(1-J84)*PowerFactor*$H25</f>
        <v>7.5089933976898213E-2</v>
      </c>
      <c r="K197" s="289">
        <f t="shared" si="88"/>
        <v>7.5089933976898213E-2</v>
      </c>
      <c r="L197" s="289">
        <f t="shared" ref="L197:M197" si="89">ABS(L127 + L162)*(1-L84)*PowerFactor*$H25</f>
        <v>6.0304374180299374E-2</v>
      </c>
      <c r="M197" s="289">
        <f t="shared" si="89"/>
        <v>6.0304374180299374E-2</v>
      </c>
      <c r="N197" s="289">
        <f t="shared" ref="N197:P197" si="90">ABS(N127 + N162)*(1-N84)*PowerFactor*$H25</f>
        <v>5.529703092630299E-2</v>
      </c>
      <c r="O197" s="289">
        <f t="shared" si="90"/>
        <v>4.3550937994187293E-2</v>
      </c>
      <c r="P197" s="289">
        <f t="shared" si="90"/>
        <v>3.266650868561357E-2</v>
      </c>
      <c r="Q197" s="289">
        <f t="shared" ref="Q197:S197" si="91">ABS(Q127 + Q162)*(1-Q84)*PowerFactor*$H25</f>
        <v>5.529703092630299E-2</v>
      </c>
      <c r="R197" s="289">
        <f t="shared" si="91"/>
        <v>4.3550937994187293E-2</v>
      </c>
      <c r="S197" s="289">
        <f t="shared" si="91"/>
        <v>3.266650868561357E-2</v>
      </c>
      <c r="T197" s="289">
        <f t="shared" ref="T197:V197" si="92">ABS(T127 + T162)*(1-T84)*PowerFactor*$H25</f>
        <v>7.9263778938582066E-2</v>
      </c>
      <c r="U197" s="289">
        <f t="shared" si="92"/>
        <v>3.9232431980039721E-2</v>
      </c>
      <c r="V197" s="289">
        <f t="shared" si="92"/>
        <v>3.7302968112168919E-2</v>
      </c>
      <c r="W197" s="289">
        <f t="shared" ref="W197:X197" si="93">ABS(W127 + W162)*(1-W84)*PowerFactor*$H25</f>
        <v>3.9232431980039721E-2</v>
      </c>
      <c r="X197" s="289">
        <f t="shared" si="93"/>
        <v>3.9232431980039721E-2</v>
      </c>
      <c r="Y197" s="289">
        <f t="shared" ref="Y197:Z197" si="94">ABS(Y127 + Y162)*(1-Y84)*PowerFactor*$H25</f>
        <v>3.7302968112168919E-2</v>
      </c>
      <c r="Z197" s="289">
        <f t="shared" si="94"/>
        <v>3.7302968112168919E-2</v>
      </c>
      <c r="AA197" s="289">
        <f t="shared" ref="AA197:AB197" si="95">ABS(AA127 + AA162)*(1-AA84)*PowerFactor*$H25</f>
        <v>3.551967574943983E-2</v>
      </c>
      <c r="AB197" s="289">
        <f t="shared" si="95"/>
        <v>3.551967574943983E-2</v>
      </c>
      <c r="AC197" s="271"/>
      <c r="AD197" s="271"/>
    </row>
    <row r="198" spans="4:30" x14ac:dyDescent="0.25">
      <c r="F198" t="s">
        <v>194</v>
      </c>
      <c r="G198" t="s">
        <v>271</v>
      </c>
      <c r="H198" s="271"/>
      <c r="I198" s="271"/>
      <c r="J198" s="289">
        <f t="shared" ref="J198:K198" si="96">ABS(J128 + J163)*(1-J85)*PowerFactor*$H26</f>
        <v>1.5743389204667967E-2</v>
      </c>
      <c r="K198" s="289">
        <f t="shared" si="96"/>
        <v>1.5743389204667967E-2</v>
      </c>
      <c r="L198" s="289">
        <f t="shared" ref="L198:M198" si="97">ABS(L128 + L163)*(1-L85)*PowerFactor*$H26</f>
        <v>1.2643442112447041E-2</v>
      </c>
      <c r="M198" s="289">
        <f t="shared" si="97"/>
        <v>1.2643442112447041E-2</v>
      </c>
      <c r="N198" s="289">
        <f t="shared" ref="N198:P198" si="98">ABS(N128 + N163)*(1-N85)*PowerFactor*$H26</f>
        <v>1.1593600282072188E-2</v>
      </c>
      <c r="O198" s="289">
        <f t="shared" si="98"/>
        <v>9.1309091746144353E-3</v>
      </c>
      <c r="P198" s="289">
        <f t="shared" si="98"/>
        <v>0</v>
      </c>
      <c r="Q198" s="289">
        <f t="shared" ref="Q198:S198" si="99">ABS(Q128 + Q163)*(1-Q85)*PowerFactor*$H26</f>
        <v>1.1593600282072188E-2</v>
      </c>
      <c r="R198" s="289">
        <f t="shared" si="99"/>
        <v>9.1309091746144353E-3</v>
      </c>
      <c r="S198" s="289">
        <f t="shared" si="99"/>
        <v>0</v>
      </c>
      <c r="T198" s="289">
        <f t="shared" ref="T198:V198" si="100">ABS(T128 + T163)*(1-T85)*PowerFactor*$H26</f>
        <v>1.6618479409594069E-2</v>
      </c>
      <c r="U198" s="289">
        <f t="shared" si="100"/>
        <v>8.2254892686075744E-3</v>
      </c>
      <c r="V198" s="289">
        <f t="shared" si="100"/>
        <v>7.820957009495727E-3</v>
      </c>
      <c r="W198" s="289">
        <f t="shared" ref="W198:X198" si="101">ABS(W128 + W163)*(1-W85)*PowerFactor*$H26</f>
        <v>8.2254892686075744E-3</v>
      </c>
      <c r="X198" s="289">
        <f t="shared" si="101"/>
        <v>8.2254892686075744E-3</v>
      </c>
      <c r="Y198" s="289">
        <f t="shared" ref="Y198:Z198" si="102">ABS(Y128 + Y163)*(1-Y85)*PowerFactor*$H26</f>
        <v>7.820957009495727E-3</v>
      </c>
      <c r="Z198" s="289">
        <f t="shared" si="102"/>
        <v>7.820957009495727E-3</v>
      </c>
      <c r="AA198" s="289">
        <f t="shared" ref="AA198:AB198" si="103">ABS(AA128 + AA163)*(1-AA85)*PowerFactor*$H26</f>
        <v>6.5937426188785323E-3</v>
      </c>
      <c r="AB198" s="289">
        <f t="shared" si="103"/>
        <v>6.5937426188785323E-3</v>
      </c>
      <c r="AC198" s="271"/>
      <c r="AD198" s="271"/>
    </row>
    <row r="199" spans="4:30" x14ac:dyDescent="0.25">
      <c r="F199" t="s">
        <v>195</v>
      </c>
      <c r="G199" t="s">
        <v>271</v>
      </c>
      <c r="H199" s="271"/>
      <c r="I199" s="271"/>
      <c r="J199" s="289">
        <f t="shared" ref="J199:K199" si="104">ABS(J129 + J164)*(1-J86)*PowerFactor*$H27</f>
        <v>0</v>
      </c>
      <c r="K199" s="289">
        <f t="shared" si="104"/>
        <v>0</v>
      </c>
      <c r="L199" s="289">
        <f t="shared" ref="L199:M199" si="105">ABS(L129 + L164)*(1-L86)*PowerFactor*$H27</f>
        <v>0</v>
      </c>
      <c r="M199" s="289">
        <f t="shared" si="105"/>
        <v>0</v>
      </c>
      <c r="N199" s="289">
        <f t="shared" ref="N199:P199" si="106">ABS(N129 + N164)*(1-N86)*PowerFactor*$H27</f>
        <v>0</v>
      </c>
      <c r="O199" s="289">
        <f t="shared" si="106"/>
        <v>0</v>
      </c>
      <c r="P199" s="289">
        <f t="shared" si="106"/>
        <v>0</v>
      </c>
      <c r="Q199" s="289">
        <f t="shared" ref="Q199:S199" si="107">ABS(Q129 + Q164)*(1-Q86)*PowerFactor*$H27</f>
        <v>0</v>
      </c>
      <c r="R199" s="289">
        <f t="shared" si="107"/>
        <v>0</v>
      </c>
      <c r="S199" s="289">
        <f t="shared" si="107"/>
        <v>0</v>
      </c>
      <c r="T199" s="289">
        <f t="shared" ref="T199:V199" si="108">ABS(T129 + T164)*(1-T86)*PowerFactor*$H27</f>
        <v>0</v>
      </c>
      <c r="U199" s="289">
        <f t="shared" si="108"/>
        <v>0</v>
      </c>
      <c r="V199" s="289">
        <f t="shared" si="108"/>
        <v>0</v>
      </c>
      <c r="W199" s="289">
        <f t="shared" ref="W199:X199" si="109">ABS(W129 + W164)*(1-W86)*PowerFactor*$H27</f>
        <v>0</v>
      </c>
      <c r="X199" s="289">
        <f t="shared" si="109"/>
        <v>0</v>
      </c>
      <c r="Y199" s="289">
        <f t="shared" ref="Y199:Z199" si="110">ABS(Y129 + Y164)*(1-Y86)*PowerFactor*$H27</f>
        <v>0</v>
      </c>
      <c r="Z199" s="289">
        <f t="shared" si="110"/>
        <v>0</v>
      </c>
      <c r="AA199" s="289">
        <f t="shared" ref="AA199:AB199" si="111">ABS(AA129 + AA164)*(1-AA86)*PowerFactor*$H27</f>
        <v>0</v>
      </c>
      <c r="AB199" s="289">
        <f t="shared" si="111"/>
        <v>0</v>
      </c>
      <c r="AC199" s="271"/>
      <c r="AD199" s="271"/>
    </row>
    <row r="200" spans="4:30" x14ac:dyDescent="0.25">
      <c r="F200" t="s">
        <v>196</v>
      </c>
      <c r="G200" t="s">
        <v>271</v>
      </c>
      <c r="H200" s="271"/>
      <c r="I200" s="271"/>
      <c r="J200" s="289">
        <f t="shared" ref="J200:K200" si="112">ABS(J130 + J165)*(1-J87)*PowerFactor*$H28</f>
        <v>5.4138643601124706E-2</v>
      </c>
      <c r="K200" s="289">
        <f t="shared" si="112"/>
        <v>5.4138643601124706E-2</v>
      </c>
      <c r="L200" s="289">
        <f t="shared" ref="L200:M200" si="113">ABS(L130 + L165)*(1-L87)*PowerFactor*$H28</f>
        <v>4.3478491036368805E-2</v>
      </c>
      <c r="M200" s="289">
        <f t="shared" si="113"/>
        <v>4.3478491036368805E-2</v>
      </c>
      <c r="N200" s="289">
        <f t="shared" ref="N200:P200" si="114">ABS(N130 + N165)*(1-N87)*PowerFactor*$H28</f>
        <v>3.1894621193200322E-2</v>
      </c>
      <c r="O200" s="289">
        <f t="shared" si="114"/>
        <v>0</v>
      </c>
      <c r="P200" s="289">
        <f t="shared" si="114"/>
        <v>0</v>
      </c>
      <c r="Q200" s="289">
        <f t="shared" ref="Q200:S200" si="115">ABS(Q130 + Q165)*(1-Q87)*PowerFactor*$H28</f>
        <v>3.1894621193200322E-2</v>
      </c>
      <c r="R200" s="289">
        <f t="shared" si="115"/>
        <v>0</v>
      </c>
      <c r="S200" s="289">
        <f t="shared" si="115"/>
        <v>0</v>
      </c>
      <c r="T200" s="289">
        <f t="shared" ref="T200:V200" si="116">ABS(T130 + T165)*(1-T87)*PowerFactor*$H28</f>
        <v>5.7147919183874213E-2</v>
      </c>
      <c r="U200" s="289">
        <f t="shared" si="116"/>
        <v>2.8285957119448174E-2</v>
      </c>
      <c r="V200" s="289">
        <f t="shared" si="116"/>
        <v>2.6894844474229407E-2</v>
      </c>
      <c r="W200" s="289">
        <f t="shared" ref="W200:X200" si="117">ABS(W130 + W165)*(1-W87)*PowerFactor*$H28</f>
        <v>2.8285957119448174E-2</v>
      </c>
      <c r="X200" s="289">
        <f t="shared" si="117"/>
        <v>2.8285957119448174E-2</v>
      </c>
      <c r="Y200" s="289">
        <f t="shared" ref="Y200:Z200" si="118">ABS(Y130 + Y165)*(1-Y87)*PowerFactor*$H28</f>
        <v>2.6894844474229407E-2</v>
      </c>
      <c r="Z200" s="289">
        <f t="shared" si="118"/>
        <v>2.6894844474229407E-2</v>
      </c>
      <c r="AA200" s="289">
        <f t="shared" ref="AA200:AB200" si="119">ABS(AA130 + AA165)*(1-AA87)*PowerFactor*$H28</f>
        <v>1.8137724185011792E-2</v>
      </c>
      <c r="AB200" s="289">
        <f t="shared" si="119"/>
        <v>1.8137724185011792E-2</v>
      </c>
      <c r="AC200" s="271"/>
      <c r="AD200" s="271"/>
    </row>
    <row r="201" spans="4:30" x14ac:dyDescent="0.25">
      <c r="F201" t="s">
        <v>197</v>
      </c>
      <c r="G201" t="s">
        <v>271</v>
      </c>
      <c r="H201" s="271"/>
      <c r="I201" s="271"/>
      <c r="J201" s="289">
        <f t="shared" ref="J201:K201" si="120">ABS(J131 + J166)*(1-J88)*PowerFactor*$H29</f>
        <v>1.2431487107862611E-2</v>
      </c>
      <c r="K201" s="289">
        <f t="shared" si="120"/>
        <v>1.2431487107862611E-2</v>
      </c>
      <c r="L201" s="289">
        <f t="shared" ref="L201:M201" si="121">ABS(L131 + L166)*(1-L88)*PowerFactor*$H29</f>
        <v>9.9836690547731102E-3</v>
      </c>
      <c r="M201" s="289">
        <f t="shared" si="121"/>
        <v>9.9836690547731102E-3</v>
      </c>
      <c r="N201" s="289">
        <f t="shared" ref="N201:P201" si="122">ABS(N131 + N166)*(1-N88)*PowerFactor*$H29</f>
        <v>0</v>
      </c>
      <c r="O201" s="289">
        <f t="shared" si="122"/>
        <v>0</v>
      </c>
      <c r="P201" s="289">
        <f t="shared" si="122"/>
        <v>0</v>
      </c>
      <c r="Q201" s="289">
        <f t="shared" ref="Q201:S201" si="123">ABS(Q131 + Q166)*(1-Q88)*PowerFactor*$H29</f>
        <v>0</v>
      </c>
      <c r="R201" s="289">
        <f t="shared" si="123"/>
        <v>0</v>
      </c>
      <c r="S201" s="289">
        <f t="shared" si="123"/>
        <v>0</v>
      </c>
      <c r="T201" s="289">
        <f t="shared" ref="T201:V201" si="124">ABS(T131 + T166)*(1-T88)*PowerFactor*$H29</f>
        <v>1.3122486514618698E-2</v>
      </c>
      <c r="U201" s="289">
        <f t="shared" si="124"/>
        <v>6.4951112158389869E-3</v>
      </c>
      <c r="V201" s="289">
        <f t="shared" si="124"/>
        <v>6.1756795166993637E-3</v>
      </c>
      <c r="W201" s="289">
        <f t="shared" ref="W201:X201" si="125">ABS(W131 + W166)*(1-W88)*PowerFactor*$H29</f>
        <v>6.4951112158389869E-3</v>
      </c>
      <c r="X201" s="289">
        <f t="shared" si="125"/>
        <v>6.4951112158389869E-3</v>
      </c>
      <c r="Y201" s="289">
        <f t="shared" ref="Y201:Z201" si="126">ABS(Y131 + Y166)*(1-Y88)*PowerFactor*$H29</f>
        <v>6.1756795166993637E-3</v>
      </c>
      <c r="Z201" s="289">
        <f t="shared" si="126"/>
        <v>6.1756795166993637E-3</v>
      </c>
      <c r="AA201" s="289">
        <f t="shared" ref="AA201:AB201" si="127">ABS(AA131 + AA166)*(1-AA88)*PowerFactor*$H29</f>
        <v>0</v>
      </c>
      <c r="AB201" s="289">
        <f t="shared" si="127"/>
        <v>0</v>
      </c>
      <c r="AC201" s="271"/>
      <c r="AD201" s="271"/>
    </row>
    <row r="202" spans="4:30" x14ac:dyDescent="0.25">
      <c r="F202" t="s">
        <v>198</v>
      </c>
      <c r="G202" t="s">
        <v>271</v>
      </c>
      <c r="H202" s="271"/>
      <c r="I202" s="271"/>
      <c r="J202" s="289">
        <f t="shared" ref="J202:K202" si="128">ABS(J132 + J167)*(1-J89)*PowerFactor*$H30</f>
        <v>0</v>
      </c>
      <c r="K202" s="289">
        <f t="shared" si="128"/>
        <v>0</v>
      </c>
      <c r="L202" s="289">
        <f t="shared" ref="L202:M202" si="129">ABS(L132 + L167)*(1-L89)*PowerFactor*$H30</f>
        <v>0</v>
      </c>
      <c r="M202" s="289">
        <f t="shared" si="129"/>
        <v>0</v>
      </c>
      <c r="N202" s="289">
        <f t="shared" ref="N202:P202" si="130">ABS(N132 + N167)*(1-N89)*PowerFactor*$H30</f>
        <v>0</v>
      </c>
      <c r="O202" s="289">
        <f t="shared" si="130"/>
        <v>0</v>
      </c>
      <c r="P202" s="289">
        <f t="shared" si="130"/>
        <v>0</v>
      </c>
      <c r="Q202" s="289">
        <f t="shared" ref="Q202:S202" si="131">ABS(Q132 + Q167)*(1-Q89)*PowerFactor*$H30</f>
        <v>0</v>
      </c>
      <c r="R202" s="289">
        <f t="shared" si="131"/>
        <v>0</v>
      </c>
      <c r="S202" s="289">
        <f t="shared" si="131"/>
        <v>0</v>
      </c>
      <c r="T202" s="289">
        <f t="shared" ref="T202:V202" si="132">ABS(T132 + T167)*(1-T89)*PowerFactor*$H30</f>
        <v>2.3054921497238801E-3</v>
      </c>
      <c r="U202" s="289">
        <f t="shared" si="132"/>
        <v>1.1411273239274064E-3</v>
      </c>
      <c r="V202" s="289">
        <f t="shared" si="132"/>
        <v>0</v>
      </c>
      <c r="W202" s="289">
        <f t="shared" ref="W202:X202" si="133">ABS(W132 + W167)*(1-W89)*PowerFactor*$H30</f>
        <v>1.1411273239274064E-3</v>
      </c>
      <c r="X202" s="289">
        <f t="shared" si="133"/>
        <v>1.1411273239274064E-3</v>
      </c>
      <c r="Y202" s="289">
        <f t="shared" ref="Y202:Z202" si="134">ABS(Y132 + Y167)*(1-Y89)*PowerFactor*$H30</f>
        <v>0</v>
      </c>
      <c r="Z202" s="289">
        <f t="shared" si="134"/>
        <v>0</v>
      </c>
      <c r="AA202" s="289">
        <f t="shared" ref="AA202:AB202" si="135">ABS(AA132 + AA167)*(1-AA89)*PowerFactor*$H30</f>
        <v>0</v>
      </c>
      <c r="AB202" s="289">
        <f t="shared" si="135"/>
        <v>0</v>
      </c>
      <c r="AC202" s="271"/>
      <c r="AD202" s="271"/>
    </row>
    <row r="203" spans="4:30" x14ac:dyDescent="0.25">
      <c r="F203" t="s">
        <v>375</v>
      </c>
      <c r="G203" t="s">
        <v>271</v>
      </c>
      <c r="H203" s="271"/>
      <c r="I203" s="271"/>
      <c r="J203" s="272"/>
      <c r="K203" s="272"/>
      <c r="L203" s="272"/>
      <c r="M203" s="272"/>
      <c r="N203" s="272"/>
      <c r="O203" s="272"/>
      <c r="P203" s="272"/>
      <c r="Q203" s="272"/>
      <c r="R203" s="272"/>
      <c r="S203" s="272"/>
      <c r="T203" s="272"/>
      <c r="U203" s="272"/>
      <c r="V203" s="272"/>
      <c r="W203" s="272"/>
      <c r="X203" s="272"/>
      <c r="Y203" s="272"/>
      <c r="Z203" s="272"/>
      <c r="AA203" s="272"/>
      <c r="AB203" s="272"/>
      <c r="AC203" s="271"/>
      <c r="AD203" s="271"/>
    </row>
    <row r="204" spans="4:30" x14ac:dyDescent="0.25">
      <c r="F204" s="37" t="s">
        <v>376</v>
      </c>
      <c r="G204" s="37" t="s">
        <v>271</v>
      </c>
      <c r="H204" s="275"/>
      <c r="I204" s="275"/>
      <c r="J204" s="276"/>
      <c r="K204" s="276"/>
      <c r="L204" s="276"/>
      <c r="M204" s="276"/>
      <c r="N204" s="276"/>
      <c r="O204" s="276"/>
      <c r="P204" s="276"/>
      <c r="Q204" s="276"/>
      <c r="R204" s="276"/>
      <c r="S204" s="276"/>
      <c r="T204" s="276"/>
      <c r="U204" s="276"/>
      <c r="V204" s="276"/>
      <c r="W204" s="276"/>
      <c r="X204" s="276"/>
      <c r="Y204" s="276"/>
      <c r="Z204" s="276"/>
      <c r="AA204" s="276"/>
      <c r="AB204" s="276"/>
      <c r="AC204" s="271"/>
      <c r="AD204" s="271"/>
    </row>
    <row r="205" spans="4:30" x14ac:dyDescent="0.25">
      <c r="D205"/>
      <c r="J205" s="89"/>
      <c r="K205" s="89"/>
      <c r="L205" s="89"/>
      <c r="M205" s="89"/>
      <c r="N205" s="89"/>
      <c r="O205" s="89"/>
      <c r="P205" s="89"/>
      <c r="Q205" s="89"/>
      <c r="R205" s="89"/>
      <c r="S205" s="89"/>
      <c r="T205" s="89"/>
      <c r="U205" s="89"/>
      <c r="V205" s="89"/>
      <c r="W205" s="89"/>
      <c r="X205" s="89"/>
      <c r="Y205" s="89"/>
      <c r="Z205" s="89"/>
      <c r="AA205" s="89"/>
      <c r="AB205" s="89"/>
    </row>
    <row r="206" spans="4:30" x14ac:dyDescent="0.25">
      <c r="E206" s="32" t="s">
        <v>621</v>
      </c>
      <c r="J206" s="89"/>
      <c r="K206" s="89"/>
      <c r="L206" s="89"/>
      <c r="M206" s="89"/>
      <c r="N206" s="89"/>
      <c r="O206" s="89"/>
      <c r="P206" s="89"/>
      <c r="Q206" s="89"/>
      <c r="R206" s="89"/>
      <c r="S206" s="89"/>
      <c r="T206" s="89"/>
      <c r="U206" s="89"/>
      <c r="V206" s="89"/>
      <c r="W206" s="89"/>
      <c r="X206" s="89"/>
      <c r="Y206" s="89"/>
      <c r="Z206" s="89"/>
      <c r="AA206" s="89"/>
      <c r="AB206" s="89"/>
    </row>
    <row r="207" spans="4:30" x14ac:dyDescent="0.25">
      <c r="F207" s="23" t="s">
        <v>188</v>
      </c>
      <c r="G207" s="23" t="s">
        <v>271</v>
      </c>
      <c r="H207" s="269"/>
      <c r="I207" s="269"/>
      <c r="J207" s="288">
        <f t="shared" ref="J207:K207" si="136">ABS(J137 + J172)*(1-J81)*PowerFactor*$H22</f>
        <v>7.8406603924909474E-2</v>
      </c>
      <c r="K207" s="288">
        <f t="shared" si="136"/>
        <v>7.8406603924909474E-2</v>
      </c>
      <c r="L207" s="288">
        <f t="shared" ref="L207:M207" si="137">ABS(L137 + L172)*(1-L81)*PowerFactor*$H22</f>
        <v>6.2967976276939383E-2</v>
      </c>
      <c r="M207" s="288">
        <f t="shared" si="137"/>
        <v>6.2967976276939383E-2</v>
      </c>
      <c r="N207" s="288">
        <f t="shared" ref="N207:P207" si="138">ABS(N137 + N172)*(1-N81)*PowerFactor*$H22</f>
        <v>5.7739462168071583E-2</v>
      </c>
      <c r="O207" s="288">
        <f t="shared" si="138"/>
        <v>4.547455251351102E-2</v>
      </c>
      <c r="P207" s="288">
        <f t="shared" si="138"/>
        <v>4.4005292609106447E-2</v>
      </c>
      <c r="Q207" s="288">
        <f t="shared" ref="Q207:S207" si="139">ABS(Q137 + Q172)*(1-Q81)*PowerFactor*$H22</f>
        <v>5.7739462168071583E-2</v>
      </c>
      <c r="R207" s="288">
        <f t="shared" si="139"/>
        <v>4.547455251351102E-2</v>
      </c>
      <c r="S207" s="288">
        <f t="shared" si="139"/>
        <v>4.4005292609106447E-2</v>
      </c>
      <c r="T207" s="288">
        <f t="shared" ref="T207:V207" si="140">ABS(T137 + T172)*(1-T81)*PowerFactor*$H22</f>
        <v>8.2764804703930092E-2</v>
      </c>
      <c r="U207" s="288">
        <f t="shared" si="140"/>
        <v>4.0965301104357039E-2</v>
      </c>
      <c r="V207" s="288">
        <f t="shared" si="140"/>
        <v>3.8950614164798496E-2</v>
      </c>
      <c r="W207" s="288">
        <f t="shared" ref="W207:X207" si="141">ABS(W137 + W172)*(1-W81)*PowerFactor*$H22</f>
        <v>4.0965301104357039E-2</v>
      </c>
      <c r="X207" s="288">
        <f t="shared" si="141"/>
        <v>4.0965301104357039E-2</v>
      </c>
      <c r="Y207" s="288">
        <f t="shared" ref="Y207:Z207" si="142">ABS(Y137 + Y172)*(1-Y81)*PowerFactor*$H22</f>
        <v>3.8950614164798496E-2</v>
      </c>
      <c r="Z207" s="288">
        <f t="shared" si="142"/>
        <v>3.8950614164798496E-2</v>
      </c>
      <c r="AA207" s="288">
        <f t="shared" ref="AA207:AB207" si="143">ABS(AA137 + AA172)*(1-AA81)*PowerFactor*$H22</f>
        <v>3.827905185161231E-2</v>
      </c>
      <c r="AB207" s="288">
        <f t="shared" si="143"/>
        <v>3.827905185161231E-2</v>
      </c>
      <c r="AC207" s="271"/>
      <c r="AD207" s="271"/>
    </row>
    <row r="208" spans="4:30" x14ac:dyDescent="0.25">
      <c r="F208" t="s">
        <v>190</v>
      </c>
      <c r="G208" t="s">
        <v>271</v>
      </c>
      <c r="H208" s="271"/>
      <c r="I208" s="271"/>
      <c r="J208" s="289">
        <f t="shared" ref="J208:K208" si="144">ABS(J138 + J173)*(1-J81)*PowerFactor*$H22</f>
        <v>0</v>
      </c>
      <c r="K208" s="289">
        <f t="shared" si="144"/>
        <v>0</v>
      </c>
      <c r="L208" s="289">
        <f t="shared" ref="L208:M208" si="145">ABS(L138 + L173)*(1-L81)*PowerFactor*$H22</f>
        <v>0</v>
      </c>
      <c r="M208" s="289">
        <f t="shared" si="145"/>
        <v>0</v>
      </c>
      <c r="N208" s="289">
        <f t="shared" ref="N208:P208" si="146">ABS(N138 + N173)*(1-N81)*PowerFactor*$H22</f>
        <v>0</v>
      </c>
      <c r="O208" s="289">
        <f t="shared" si="146"/>
        <v>0</v>
      </c>
      <c r="P208" s="289">
        <f t="shared" si="146"/>
        <v>0</v>
      </c>
      <c r="Q208" s="289">
        <f t="shared" ref="Q208:S208" si="147">ABS(Q138 + Q173)*(1-Q81)*PowerFactor*$H22</f>
        <v>0</v>
      </c>
      <c r="R208" s="289">
        <f t="shared" si="147"/>
        <v>0</v>
      </c>
      <c r="S208" s="289">
        <f t="shared" si="147"/>
        <v>0</v>
      </c>
      <c r="T208" s="289">
        <f t="shared" ref="T208:V208" si="148">ABS(T138 + T173)*(1-T81)*PowerFactor*$H22</f>
        <v>0</v>
      </c>
      <c r="U208" s="289">
        <f t="shared" si="148"/>
        <v>0</v>
      </c>
      <c r="V208" s="289">
        <f t="shared" si="148"/>
        <v>0</v>
      </c>
      <c r="W208" s="289">
        <f t="shared" ref="W208:X208" si="149">ABS(W138 + W173)*(1-W81)*PowerFactor*$H22</f>
        <v>0</v>
      </c>
      <c r="X208" s="289">
        <f t="shared" si="149"/>
        <v>0</v>
      </c>
      <c r="Y208" s="289">
        <f t="shared" ref="Y208:Z208" si="150">ABS(Y138 + Y173)*(1-Y81)*PowerFactor*$H22</f>
        <v>0</v>
      </c>
      <c r="Z208" s="289">
        <f t="shared" si="150"/>
        <v>0</v>
      </c>
      <c r="AA208" s="289">
        <f t="shared" ref="AA208:AB208" si="151">ABS(AA138 + AA173)*(1-AA81)*PowerFactor*$H22</f>
        <v>0</v>
      </c>
      <c r="AB208" s="289">
        <f t="shared" si="151"/>
        <v>0</v>
      </c>
      <c r="AC208" s="271"/>
      <c r="AD208" s="271"/>
    </row>
    <row r="209" spans="3:30" x14ac:dyDescent="0.25">
      <c r="F209" t="s">
        <v>191</v>
      </c>
      <c r="G209" t="s">
        <v>271</v>
      </c>
      <c r="H209" s="271"/>
      <c r="I209" s="271"/>
      <c r="J209" s="289">
        <f t="shared" ref="J209:K209" si="152">ABS(J139 + J174)*(1-J82)*PowerFactor*$H23</f>
        <v>0</v>
      </c>
      <c r="K209" s="289">
        <f t="shared" si="152"/>
        <v>0</v>
      </c>
      <c r="L209" s="289">
        <f t="shared" ref="L209:M209" si="153">ABS(L139 + L174)*(1-L82)*PowerFactor*$H23</f>
        <v>0</v>
      </c>
      <c r="M209" s="289">
        <f t="shared" si="153"/>
        <v>0</v>
      </c>
      <c r="N209" s="289">
        <f t="shared" ref="N209:P209" si="154">ABS(N139 + N174)*(1-N82)*PowerFactor*$H23</f>
        <v>0</v>
      </c>
      <c r="O209" s="289">
        <f t="shared" si="154"/>
        <v>0</v>
      </c>
      <c r="P209" s="289">
        <f t="shared" si="154"/>
        <v>0</v>
      </c>
      <c r="Q209" s="289">
        <f t="shared" ref="Q209:S209" si="155">ABS(Q139 + Q174)*(1-Q82)*PowerFactor*$H23</f>
        <v>0</v>
      </c>
      <c r="R209" s="289">
        <f t="shared" si="155"/>
        <v>0</v>
      </c>
      <c r="S209" s="289">
        <f t="shared" si="155"/>
        <v>0</v>
      </c>
      <c r="T209" s="289">
        <f t="shared" ref="T209:V209" si="156">ABS(T139 + T174)*(1-T82)*PowerFactor*$H23</f>
        <v>0</v>
      </c>
      <c r="U209" s="289">
        <f t="shared" si="156"/>
        <v>0</v>
      </c>
      <c r="V209" s="289">
        <f t="shared" si="156"/>
        <v>0</v>
      </c>
      <c r="W209" s="289">
        <f t="shared" ref="W209:X209" si="157">ABS(W139 + W174)*(1-W82)*PowerFactor*$H23</f>
        <v>0</v>
      </c>
      <c r="X209" s="289">
        <f t="shared" si="157"/>
        <v>0</v>
      </c>
      <c r="Y209" s="289">
        <f t="shared" ref="Y209:Z209" si="158">ABS(Y139 + Y174)*(1-Y82)*PowerFactor*$H23</f>
        <v>0</v>
      </c>
      <c r="Z209" s="289">
        <f t="shared" si="158"/>
        <v>0</v>
      </c>
      <c r="AA209" s="289">
        <f t="shared" ref="AA209:AB209" si="159">ABS(AA139 + AA174)*(1-AA82)*PowerFactor*$H23</f>
        <v>0</v>
      </c>
      <c r="AB209" s="289">
        <f t="shared" si="159"/>
        <v>0</v>
      </c>
      <c r="AC209" s="271"/>
      <c r="AD209" s="271"/>
    </row>
    <row r="210" spans="3:30" x14ac:dyDescent="0.25">
      <c r="F210" t="s">
        <v>192</v>
      </c>
      <c r="G210" t="s">
        <v>271</v>
      </c>
      <c r="H210" s="271"/>
      <c r="I210" s="271"/>
      <c r="J210" s="289">
        <f t="shared" ref="J210:K210" si="160">ABS(J140 + J175)*(1-J83)*PowerFactor*$H24</f>
        <v>0</v>
      </c>
      <c r="K210" s="289">
        <f t="shared" si="160"/>
        <v>0</v>
      </c>
      <c r="L210" s="289">
        <f t="shared" ref="L210:M210" si="161">ABS(L140 + L175)*(1-L83)*PowerFactor*$H24</f>
        <v>0</v>
      </c>
      <c r="M210" s="289">
        <f t="shared" si="161"/>
        <v>0</v>
      </c>
      <c r="N210" s="289">
        <f t="shared" ref="N210:P210" si="162">ABS(N140 + N175)*(1-N83)*PowerFactor*$H24</f>
        <v>0</v>
      </c>
      <c r="O210" s="289">
        <f t="shared" si="162"/>
        <v>0</v>
      </c>
      <c r="P210" s="289">
        <f t="shared" si="162"/>
        <v>0</v>
      </c>
      <c r="Q210" s="289">
        <f t="shared" ref="Q210:S210" si="163">ABS(Q140 + Q175)*(1-Q83)*PowerFactor*$H24</f>
        <v>0</v>
      </c>
      <c r="R210" s="289">
        <f t="shared" si="163"/>
        <v>0</v>
      </c>
      <c r="S210" s="289">
        <f t="shared" si="163"/>
        <v>0</v>
      </c>
      <c r="T210" s="289">
        <f t="shared" ref="T210:V210" si="164">ABS(T140 + T175)*(1-T83)*PowerFactor*$H24</f>
        <v>0</v>
      </c>
      <c r="U210" s="289">
        <f t="shared" si="164"/>
        <v>0</v>
      </c>
      <c r="V210" s="289">
        <f t="shared" si="164"/>
        <v>0</v>
      </c>
      <c r="W210" s="289">
        <f t="shared" ref="W210:X210" si="165">ABS(W140 + W175)*(1-W83)*PowerFactor*$H24</f>
        <v>0</v>
      </c>
      <c r="X210" s="289">
        <f t="shared" si="165"/>
        <v>0</v>
      </c>
      <c r="Y210" s="289">
        <f t="shared" ref="Y210:Z210" si="166">ABS(Y140 + Y175)*(1-Y83)*PowerFactor*$H24</f>
        <v>0</v>
      </c>
      <c r="Z210" s="289">
        <f t="shared" si="166"/>
        <v>0</v>
      </c>
      <c r="AA210" s="289">
        <f t="shared" ref="AA210:AB210" si="167">ABS(AA140 + AA175)*(1-AA83)*PowerFactor*$H24</f>
        <v>0</v>
      </c>
      <c r="AB210" s="289">
        <f t="shared" si="167"/>
        <v>0</v>
      </c>
      <c r="AC210" s="271"/>
      <c r="AD210" s="271"/>
    </row>
    <row r="211" spans="3:30" x14ac:dyDescent="0.25">
      <c r="F211" t="s">
        <v>193</v>
      </c>
      <c r="G211" t="s">
        <v>271</v>
      </c>
      <c r="H211" s="271"/>
      <c r="I211" s="271"/>
      <c r="J211" s="289">
        <f t="shared" ref="J211:K211" si="168">ABS(J141 + J176)*(1-J84)*PowerFactor*$H25</f>
        <v>5.5494718951163237E-2</v>
      </c>
      <c r="K211" s="289">
        <f t="shared" si="168"/>
        <v>5.5494718951163237E-2</v>
      </c>
      <c r="L211" s="289">
        <f t="shared" ref="L211:M211" si="169">ABS(L141 + L176)*(1-L84)*PowerFactor*$H25</f>
        <v>4.4567548796768004E-2</v>
      </c>
      <c r="M211" s="289">
        <f t="shared" si="169"/>
        <v>4.4567548796768004E-2</v>
      </c>
      <c r="N211" s="289">
        <f t="shared" ref="N211:P211" si="170">ABS(N141 + N176)*(1-N84)*PowerFactor*$H25</f>
        <v>4.0866904890781555E-2</v>
      </c>
      <c r="O211" s="289">
        <f t="shared" si="170"/>
        <v>3.2186032615110771E-2</v>
      </c>
      <c r="P211" s="289">
        <f t="shared" si="170"/>
        <v>2.4916894480417413E-2</v>
      </c>
      <c r="Q211" s="289">
        <f t="shared" ref="Q211:S211" si="171">ABS(Q141 + Q176)*(1-Q84)*PowerFactor*$H25</f>
        <v>4.0866904890781555E-2</v>
      </c>
      <c r="R211" s="289">
        <f t="shared" si="171"/>
        <v>3.2186032615110771E-2</v>
      </c>
      <c r="S211" s="289">
        <f t="shared" si="171"/>
        <v>2.4916894480417413E-2</v>
      </c>
      <c r="T211" s="289">
        <f t="shared" ref="T211:V211" si="172">ABS(T141 + T176)*(1-T84)*PowerFactor*$H25</f>
        <v>5.8579371458190824E-2</v>
      </c>
      <c r="U211" s="289">
        <f t="shared" si="172"/>
        <v>2.8994469314259311E-2</v>
      </c>
      <c r="V211" s="289">
        <f t="shared" si="172"/>
        <v>2.7568511807000658E-2</v>
      </c>
      <c r="W211" s="289">
        <f t="shared" ref="W211:X211" si="173">ABS(W141 + W176)*(1-W84)*PowerFactor*$H25</f>
        <v>2.8994469314259311E-2</v>
      </c>
      <c r="X211" s="289">
        <f t="shared" si="173"/>
        <v>2.8994469314259311E-2</v>
      </c>
      <c r="Y211" s="289">
        <f t="shared" ref="Y211:Z211" si="174">ABS(Y141 + Y176)*(1-Y84)*PowerFactor*$H25</f>
        <v>2.7568511807000658E-2</v>
      </c>
      <c r="Z211" s="289">
        <f t="shared" si="174"/>
        <v>2.7568511807000658E-2</v>
      </c>
      <c r="AA211" s="289">
        <f t="shared" ref="AA211:AB211" si="175">ABS(AA141 + AA176)*(1-AA84)*PowerFactor*$H25</f>
        <v>2.7093192637914435E-2</v>
      </c>
      <c r="AB211" s="289">
        <f t="shared" si="175"/>
        <v>2.7093192637914435E-2</v>
      </c>
      <c r="AC211" s="271"/>
      <c r="AD211" s="271"/>
    </row>
    <row r="212" spans="3:30" x14ac:dyDescent="0.25">
      <c r="F212" t="s">
        <v>194</v>
      </c>
      <c r="G212" t="s">
        <v>271</v>
      </c>
      <c r="H212" s="271"/>
      <c r="I212" s="271"/>
      <c r="J212" s="289">
        <f t="shared" ref="J212:K212" si="176">ABS(J142 + J177)*(1-J85)*PowerFactor*$H26</f>
        <v>1.1635047641946474E-2</v>
      </c>
      <c r="K212" s="289">
        <f t="shared" si="176"/>
        <v>1.1635047641946474E-2</v>
      </c>
      <c r="L212" s="289">
        <f t="shared" ref="L212:M212" si="177">ABS(L142 + L177)*(1-L85)*PowerFactor*$H26</f>
        <v>9.3440522510169523E-3</v>
      </c>
      <c r="M212" s="289">
        <f t="shared" si="177"/>
        <v>9.3440522510169523E-3</v>
      </c>
      <c r="N212" s="289">
        <f t="shared" ref="N212:P212" si="178">ABS(N142 + N177)*(1-N85)*PowerFactor*$H26</f>
        <v>8.5681735914651738E-3</v>
      </c>
      <c r="O212" s="289">
        <f t="shared" si="178"/>
        <v>6.7481380203333243E-3</v>
      </c>
      <c r="P212" s="289">
        <f t="shared" si="178"/>
        <v>0</v>
      </c>
      <c r="Q212" s="289">
        <f t="shared" ref="Q212:S212" si="179">ABS(Q142 + Q177)*(1-Q85)*PowerFactor*$H26</f>
        <v>8.5681735914651738E-3</v>
      </c>
      <c r="R212" s="289">
        <f t="shared" si="179"/>
        <v>6.7481380203333243E-3</v>
      </c>
      <c r="S212" s="289">
        <f t="shared" si="179"/>
        <v>0</v>
      </c>
      <c r="T212" s="289">
        <f t="shared" ref="T212:V212" si="180">ABS(T142 + T177)*(1-T85)*PowerFactor*$H26</f>
        <v>1.2281777268772763E-2</v>
      </c>
      <c r="U212" s="289">
        <f t="shared" si="180"/>
        <v>6.0789934285682308E-3</v>
      </c>
      <c r="V212" s="289">
        <f t="shared" si="180"/>
        <v>5.7800265386386456E-3</v>
      </c>
      <c r="W212" s="289">
        <f t="shared" ref="W212:X212" si="181">ABS(W142 + W177)*(1-W85)*PowerFactor*$H26</f>
        <v>6.0789934285682308E-3</v>
      </c>
      <c r="X212" s="289">
        <f t="shared" si="181"/>
        <v>6.0789934285682308E-3</v>
      </c>
      <c r="Y212" s="289">
        <f t="shared" ref="Y212:Z212" si="182">ABS(Y142 + Y177)*(1-Y85)*PowerFactor*$H26</f>
        <v>5.7800265386386456E-3</v>
      </c>
      <c r="Z212" s="289">
        <f t="shared" si="182"/>
        <v>5.7800265386386456E-3</v>
      </c>
      <c r="AA212" s="289">
        <f t="shared" ref="AA212:AB212" si="183">ABS(AA142 + AA177)*(1-AA85)*PowerFactor*$H26</f>
        <v>5.6803709086621175E-3</v>
      </c>
      <c r="AB212" s="289">
        <f t="shared" si="183"/>
        <v>5.6803709086621175E-3</v>
      </c>
      <c r="AC212" s="271"/>
      <c r="AD212" s="271"/>
    </row>
    <row r="213" spans="3:30" x14ac:dyDescent="0.25">
      <c r="F213" t="s">
        <v>195</v>
      </c>
      <c r="G213" t="s">
        <v>271</v>
      </c>
      <c r="H213" s="271"/>
      <c r="I213" s="271"/>
      <c r="J213" s="289">
        <f t="shared" ref="J213:K213" si="184">ABS(J143 + J178)*(1-J86)*PowerFactor*$H27</f>
        <v>0</v>
      </c>
      <c r="K213" s="289">
        <f t="shared" si="184"/>
        <v>0</v>
      </c>
      <c r="L213" s="289">
        <f t="shared" ref="L213:M213" si="185">ABS(L143 + L178)*(1-L86)*PowerFactor*$H27</f>
        <v>0</v>
      </c>
      <c r="M213" s="289">
        <f t="shared" si="185"/>
        <v>0</v>
      </c>
      <c r="N213" s="289">
        <f t="shared" ref="N213:P213" si="186">ABS(N143 + N178)*(1-N86)*PowerFactor*$H27</f>
        <v>0</v>
      </c>
      <c r="O213" s="289">
        <f t="shared" si="186"/>
        <v>0</v>
      </c>
      <c r="P213" s="289">
        <f t="shared" si="186"/>
        <v>0</v>
      </c>
      <c r="Q213" s="289">
        <f t="shared" ref="Q213:S213" si="187">ABS(Q143 + Q178)*(1-Q86)*PowerFactor*$H27</f>
        <v>0</v>
      </c>
      <c r="R213" s="289">
        <f t="shared" si="187"/>
        <v>0</v>
      </c>
      <c r="S213" s="289">
        <f t="shared" si="187"/>
        <v>0</v>
      </c>
      <c r="T213" s="289">
        <f t="shared" ref="T213:V213" si="188">ABS(T143 + T178)*(1-T86)*PowerFactor*$H27</f>
        <v>0</v>
      </c>
      <c r="U213" s="289">
        <f t="shared" si="188"/>
        <v>0</v>
      </c>
      <c r="V213" s="289">
        <f t="shared" si="188"/>
        <v>0</v>
      </c>
      <c r="W213" s="289">
        <f t="shared" ref="W213:X213" si="189">ABS(W143 + W178)*(1-W86)*PowerFactor*$H27</f>
        <v>0</v>
      </c>
      <c r="X213" s="289">
        <f t="shared" si="189"/>
        <v>0</v>
      </c>
      <c r="Y213" s="289">
        <f t="shared" ref="Y213:Z213" si="190">ABS(Y143 + Y178)*(1-Y86)*PowerFactor*$H27</f>
        <v>0</v>
      </c>
      <c r="Z213" s="289">
        <f t="shared" si="190"/>
        <v>0</v>
      </c>
      <c r="AA213" s="289">
        <f t="shared" ref="AA213:AB213" si="191">ABS(AA143 + AA178)*(1-AA86)*PowerFactor*$H27</f>
        <v>0</v>
      </c>
      <c r="AB213" s="289">
        <f t="shared" si="191"/>
        <v>0</v>
      </c>
      <c r="AC213" s="271"/>
      <c r="AD213" s="271"/>
    </row>
    <row r="214" spans="3:30" x14ac:dyDescent="0.25">
      <c r="F214" t="s">
        <v>196</v>
      </c>
      <c r="G214" t="s">
        <v>271</v>
      </c>
      <c r="H214" s="271"/>
      <c r="I214" s="271"/>
      <c r="J214" s="289">
        <f t="shared" ref="J214:K214" si="192">ABS(J144 + J179)*(1-J87)*PowerFactor*$H28</f>
        <v>5.0054300906570162E-2</v>
      </c>
      <c r="K214" s="289">
        <f t="shared" si="192"/>
        <v>5.0054300906570162E-2</v>
      </c>
      <c r="L214" s="289">
        <f t="shared" ref="L214:M214" si="193">ABS(L144 + L179)*(1-L87)*PowerFactor*$H28</f>
        <v>4.0198374553528829E-2</v>
      </c>
      <c r="M214" s="289">
        <f t="shared" si="193"/>
        <v>4.0198374553528829E-2</v>
      </c>
      <c r="N214" s="289">
        <f t="shared" ref="N214:P214" si="194">ABS(N144 + N179)*(1-N87)*PowerFactor*$H28</f>
        <v>2.9488418259380856E-2</v>
      </c>
      <c r="O214" s="289">
        <f t="shared" si="194"/>
        <v>0</v>
      </c>
      <c r="P214" s="289">
        <f t="shared" si="194"/>
        <v>0</v>
      </c>
      <c r="Q214" s="289">
        <f t="shared" ref="Q214:S214" si="195">ABS(Q144 + Q179)*(1-Q87)*PowerFactor*$H28</f>
        <v>2.9488418259380856E-2</v>
      </c>
      <c r="R214" s="289">
        <f t="shared" si="195"/>
        <v>0</v>
      </c>
      <c r="S214" s="289">
        <f t="shared" si="195"/>
        <v>0</v>
      </c>
      <c r="T214" s="289">
        <f t="shared" ref="T214:V214" si="196">ABS(T144 + T179)*(1-T87)*PowerFactor*$H28</f>
        <v>5.2836549879032566E-2</v>
      </c>
      <c r="U214" s="289">
        <f t="shared" si="196"/>
        <v>2.6152000030118715E-2</v>
      </c>
      <c r="V214" s="289">
        <f t="shared" si="196"/>
        <v>2.4865836094211235E-2</v>
      </c>
      <c r="W214" s="289">
        <f t="shared" ref="W214:X214" si="197">ABS(W144 + W179)*(1-W87)*PowerFactor*$H28</f>
        <v>2.6152000030118715E-2</v>
      </c>
      <c r="X214" s="289">
        <f t="shared" si="197"/>
        <v>2.6152000030118715E-2</v>
      </c>
      <c r="Y214" s="289">
        <f t="shared" ref="Y214:Z214" si="198">ABS(Y144 + Y179)*(1-Y87)*PowerFactor*$H28</f>
        <v>2.4865836094211235E-2</v>
      </c>
      <c r="Z214" s="289">
        <f t="shared" si="198"/>
        <v>2.4865836094211235E-2</v>
      </c>
      <c r="AA214" s="289">
        <f t="shared" ref="AA214:AB214" si="199">ABS(AA144 + AA179)*(1-AA87)*PowerFactor*$H28</f>
        <v>2.4437114782242073E-2</v>
      </c>
      <c r="AB214" s="289">
        <f t="shared" si="199"/>
        <v>2.4437114782242073E-2</v>
      </c>
      <c r="AC214" s="271"/>
      <c r="AD214" s="271"/>
    </row>
    <row r="215" spans="3:30" x14ac:dyDescent="0.25">
      <c r="F215" t="s">
        <v>197</v>
      </c>
      <c r="G215" t="s">
        <v>271</v>
      </c>
      <c r="H215" s="271"/>
      <c r="I215" s="271"/>
      <c r="J215" s="289">
        <f t="shared" ref="J215:K215" si="200">ABS(J145 + J180)*(1-J88)*PowerFactor*$H29</f>
        <v>1.2580063126646432E-2</v>
      </c>
      <c r="K215" s="289">
        <f t="shared" si="200"/>
        <v>1.2580063126646432E-2</v>
      </c>
      <c r="L215" s="289">
        <f t="shared" ref="L215:M215" si="201">ABS(L145 + L180)*(1-L88)*PowerFactor*$H29</f>
        <v>1.0102989759379337E-2</v>
      </c>
      <c r="M215" s="289">
        <f t="shared" si="201"/>
        <v>1.0102989759379337E-2</v>
      </c>
      <c r="N215" s="289">
        <f t="shared" ref="N215:P215" si="202">ABS(N145 + N180)*(1-N88)*PowerFactor*$H29</f>
        <v>0</v>
      </c>
      <c r="O215" s="289">
        <f t="shared" si="202"/>
        <v>0</v>
      </c>
      <c r="P215" s="289">
        <f t="shared" si="202"/>
        <v>0</v>
      </c>
      <c r="Q215" s="289">
        <f t="shared" ref="Q215:S215" si="203">ABS(Q145 + Q180)*(1-Q88)*PowerFactor*$H29</f>
        <v>0</v>
      </c>
      <c r="R215" s="289">
        <f t="shared" si="203"/>
        <v>0</v>
      </c>
      <c r="S215" s="289">
        <f t="shared" si="203"/>
        <v>0</v>
      </c>
      <c r="T215" s="289">
        <f t="shared" ref="T215:V215" si="204">ABS(T145 + T180)*(1-T88)*PowerFactor*$H29</f>
        <v>1.3279321073989575E-2</v>
      </c>
      <c r="U215" s="289">
        <f t="shared" si="204"/>
        <v>6.5727381125758322E-3</v>
      </c>
      <c r="V215" s="289">
        <f t="shared" si="204"/>
        <v>6.2494886972032518E-3</v>
      </c>
      <c r="W215" s="289">
        <f t="shared" ref="W215:X215" si="205">ABS(W145 + W180)*(1-W88)*PowerFactor*$H29</f>
        <v>6.5727381125758322E-3</v>
      </c>
      <c r="X215" s="289">
        <f t="shared" si="205"/>
        <v>6.5727381125758322E-3</v>
      </c>
      <c r="Y215" s="289">
        <f t="shared" ref="Y215:Z215" si="206">ABS(Y145 + Y180)*(1-Y88)*PowerFactor*$H29</f>
        <v>6.2494886972032518E-3</v>
      </c>
      <c r="Z215" s="289">
        <f t="shared" si="206"/>
        <v>6.2494886972032518E-3</v>
      </c>
      <c r="AA215" s="289">
        <f t="shared" ref="AA215:AB215" si="207">ABS(AA145 + AA180)*(1-AA88)*PowerFactor*$H29</f>
        <v>0</v>
      </c>
      <c r="AB215" s="289">
        <f t="shared" si="207"/>
        <v>0</v>
      </c>
      <c r="AC215" s="271"/>
      <c r="AD215" s="271"/>
    </row>
    <row r="216" spans="3:30" x14ac:dyDescent="0.25">
      <c r="F216" t="s">
        <v>198</v>
      </c>
      <c r="G216" t="s">
        <v>271</v>
      </c>
      <c r="H216" s="271"/>
      <c r="I216" s="271"/>
      <c r="J216" s="289">
        <f t="shared" ref="J216:K216" si="208">ABS(J146 + J181)*(1-J89)*PowerFactor*$H30</f>
        <v>0</v>
      </c>
      <c r="K216" s="289">
        <f t="shared" si="208"/>
        <v>0</v>
      </c>
      <c r="L216" s="289">
        <f t="shared" ref="L216:M216" si="209">ABS(L146 + L181)*(1-L89)*PowerFactor*$H30</f>
        <v>0</v>
      </c>
      <c r="M216" s="289">
        <f t="shared" si="209"/>
        <v>0</v>
      </c>
      <c r="N216" s="289">
        <f t="shared" ref="N216:P216" si="210">ABS(N146 + N181)*(1-N89)*PowerFactor*$H30</f>
        <v>0</v>
      </c>
      <c r="O216" s="289">
        <f t="shared" si="210"/>
        <v>0</v>
      </c>
      <c r="P216" s="289">
        <f t="shared" si="210"/>
        <v>0</v>
      </c>
      <c r="Q216" s="289">
        <f t="shared" ref="Q216:S216" si="211">ABS(Q146 + Q181)*(1-Q89)*PowerFactor*$H30</f>
        <v>0</v>
      </c>
      <c r="R216" s="289">
        <f t="shared" si="211"/>
        <v>0</v>
      </c>
      <c r="S216" s="289">
        <f t="shared" si="211"/>
        <v>0</v>
      </c>
      <c r="T216" s="289">
        <f t="shared" ref="T216:V216" si="212">ABS(T146 + T181)*(1-T89)*PowerFactor*$H30</f>
        <v>2.2336237884750681E-2</v>
      </c>
      <c r="U216" s="289">
        <f t="shared" si="212"/>
        <v>1.1055553308686891E-2</v>
      </c>
      <c r="V216" s="289">
        <f t="shared" si="212"/>
        <v>0</v>
      </c>
      <c r="W216" s="289">
        <f t="shared" ref="W216:X216" si="213">ABS(W146 + W181)*(1-W89)*PowerFactor*$H30</f>
        <v>1.1055553308686891E-2</v>
      </c>
      <c r="X216" s="289">
        <f t="shared" si="213"/>
        <v>1.1055553308686891E-2</v>
      </c>
      <c r="Y216" s="289">
        <f t="shared" ref="Y216:Z216" si="214">ABS(Y146 + Y181)*(1-Y89)*PowerFactor*$H30</f>
        <v>0</v>
      </c>
      <c r="Z216" s="289">
        <f t="shared" si="214"/>
        <v>0</v>
      </c>
      <c r="AA216" s="289">
        <f t="shared" ref="AA216:AB216" si="215">ABS(AA146 + AA181)*(1-AA89)*PowerFactor*$H30</f>
        <v>0</v>
      </c>
      <c r="AB216" s="289">
        <f t="shared" si="215"/>
        <v>0</v>
      </c>
      <c r="AC216" s="271"/>
      <c r="AD216" s="271"/>
    </row>
    <row r="217" spans="3:30" x14ac:dyDescent="0.25">
      <c r="F217" t="s">
        <v>375</v>
      </c>
      <c r="G217" t="s">
        <v>271</v>
      </c>
      <c r="H217" s="271"/>
      <c r="I217" s="271"/>
      <c r="J217" s="272"/>
      <c r="K217" s="272"/>
      <c r="L217" s="272"/>
      <c r="M217" s="272"/>
      <c r="N217" s="272"/>
      <c r="O217" s="272"/>
      <c r="P217" s="272"/>
      <c r="Q217" s="272"/>
      <c r="R217" s="272"/>
      <c r="S217" s="272"/>
      <c r="T217" s="272"/>
      <c r="U217" s="272"/>
      <c r="V217" s="272"/>
      <c r="W217" s="272"/>
      <c r="X217" s="272"/>
      <c r="Y217" s="272"/>
      <c r="Z217" s="272"/>
      <c r="AA217" s="272"/>
      <c r="AB217" s="272"/>
      <c r="AC217" s="271"/>
      <c r="AD217" s="271"/>
    </row>
    <row r="218" spans="3:30" x14ac:dyDescent="0.25">
      <c r="F218" s="37" t="s">
        <v>376</v>
      </c>
      <c r="G218" s="37" t="s">
        <v>271</v>
      </c>
      <c r="H218" s="275"/>
      <c r="I218" s="275"/>
      <c r="J218" s="276"/>
      <c r="K218" s="276"/>
      <c r="L218" s="276"/>
      <c r="M218" s="276"/>
      <c r="N218" s="276"/>
      <c r="O218" s="276"/>
      <c r="P218" s="276"/>
      <c r="Q218" s="276"/>
      <c r="R218" s="276"/>
      <c r="S218" s="276"/>
      <c r="T218" s="276"/>
      <c r="U218" s="276"/>
      <c r="V218" s="276"/>
      <c r="W218" s="276"/>
      <c r="X218" s="276"/>
      <c r="Y218" s="276"/>
      <c r="Z218" s="276"/>
      <c r="AA218" s="276"/>
      <c r="AB218" s="276"/>
      <c r="AC218" s="271"/>
      <c r="AD218" s="271"/>
    </row>
    <row r="219" spans="3:30" x14ac:dyDescent="0.25">
      <c r="J219" s="89"/>
      <c r="K219" s="89"/>
      <c r="L219" s="89"/>
      <c r="M219" s="89"/>
      <c r="N219" s="89"/>
      <c r="O219" s="89"/>
      <c r="P219" s="89"/>
      <c r="Q219" s="89"/>
      <c r="R219" s="89"/>
      <c r="S219" s="89"/>
      <c r="T219" s="89"/>
      <c r="U219" s="89"/>
      <c r="V219" s="89"/>
      <c r="W219" s="89"/>
      <c r="X219" s="89"/>
      <c r="Y219" s="89"/>
      <c r="Z219" s="89"/>
      <c r="AA219" s="89"/>
      <c r="AB219" s="89"/>
    </row>
    <row r="220" spans="3:30" x14ac:dyDescent="0.25">
      <c r="C220" s="31" t="str">
        <f ca="1">INDEX('Version control'!$H$34:$H$57,MATCH($A$1,'Version control'!$F$34:$F$57,0),1)&amp;"-E: Reactive power charges for applicable customers"</f>
        <v>Section 112-E: Reactive power charges for applicable customers</v>
      </c>
      <c r="D220" s="31"/>
      <c r="E220" s="31"/>
      <c r="F220" s="31"/>
      <c r="G220" s="31"/>
      <c r="H220" s="31"/>
      <c r="I220" s="31"/>
      <c r="J220" s="90"/>
      <c r="K220" s="90"/>
      <c r="L220" s="90"/>
      <c r="M220" s="90"/>
      <c r="N220" s="90"/>
      <c r="O220" s="90"/>
      <c r="P220" s="90"/>
      <c r="Q220" s="90"/>
      <c r="R220" s="90"/>
      <c r="S220" s="90"/>
      <c r="T220" s="90"/>
      <c r="U220" s="90"/>
      <c r="V220" s="90"/>
      <c r="W220" s="90"/>
      <c r="X220" s="90"/>
      <c r="Y220" s="90"/>
      <c r="Z220" s="90"/>
      <c r="AA220" s="90"/>
      <c r="AB220" s="90"/>
      <c r="AC220" s="31"/>
      <c r="AD220" s="31"/>
    </row>
    <row r="221" spans="3:30" x14ac:dyDescent="0.25">
      <c r="D221" s="32"/>
      <c r="E221" s="32"/>
      <c r="J221" s="89"/>
      <c r="K221" s="89"/>
      <c r="L221" s="89"/>
      <c r="M221" s="89"/>
      <c r="N221" s="89"/>
      <c r="O221" s="89"/>
      <c r="P221" s="89"/>
      <c r="Q221" s="89"/>
      <c r="R221" s="89"/>
      <c r="S221" s="89"/>
      <c r="T221" s="89"/>
      <c r="U221" s="89"/>
      <c r="V221" s="89"/>
      <c r="W221" s="89"/>
      <c r="X221" s="89"/>
      <c r="Y221" s="89"/>
      <c r="Z221" s="89"/>
      <c r="AA221" s="89"/>
      <c r="AB221" s="89"/>
    </row>
    <row r="222" spans="3:30" x14ac:dyDescent="0.25">
      <c r="D222"/>
      <c r="E222" s="32" t="s">
        <v>620</v>
      </c>
      <c r="J222" s="89"/>
      <c r="K222" s="89"/>
      <c r="L222" s="89"/>
      <c r="M222" s="89"/>
      <c r="N222" s="89"/>
      <c r="O222" s="89"/>
      <c r="P222" s="89"/>
      <c r="Q222" s="89"/>
      <c r="R222" s="89"/>
      <c r="S222" s="89"/>
      <c r="T222" s="89"/>
      <c r="U222" s="89"/>
      <c r="V222" s="89"/>
      <c r="W222" s="89"/>
      <c r="X222" s="89"/>
      <c r="Y222" s="89"/>
      <c r="Z222" s="89"/>
      <c r="AA222" s="89"/>
      <c r="AB222" s="89"/>
    </row>
    <row r="223" spans="3:30" x14ac:dyDescent="0.25">
      <c r="D223"/>
      <c r="F223" s="23" t="s">
        <v>188</v>
      </c>
      <c r="G223" s="23" t="s">
        <v>271</v>
      </c>
      <c r="H223" s="269"/>
      <c r="I223" s="269"/>
      <c r="J223" s="287"/>
      <c r="K223" s="287"/>
      <c r="L223" s="287"/>
      <c r="M223" s="287"/>
      <c r="N223" s="287"/>
      <c r="O223" s="287"/>
      <c r="P223" s="287"/>
      <c r="Q223" s="287"/>
      <c r="R223" s="287"/>
      <c r="S223" s="287"/>
      <c r="T223" s="287"/>
      <c r="U223" s="287"/>
      <c r="V223" s="287"/>
      <c r="W223" s="287"/>
      <c r="X223" s="287"/>
      <c r="Y223" s="287"/>
      <c r="Z223" s="287"/>
      <c r="AA223" s="287"/>
      <c r="AB223" s="287"/>
      <c r="AC223" s="271"/>
      <c r="AD223" s="271"/>
    </row>
    <row r="224" spans="3:30" x14ac:dyDescent="0.25">
      <c r="D224"/>
      <c r="F224" t="s">
        <v>190</v>
      </c>
      <c r="G224" t="s">
        <v>271</v>
      </c>
      <c r="H224" s="271"/>
      <c r="I224" s="271"/>
      <c r="J224" s="272"/>
      <c r="K224" s="272"/>
      <c r="L224" s="272"/>
      <c r="M224" s="272"/>
      <c r="N224" s="272"/>
      <c r="O224" s="272"/>
      <c r="P224" s="272"/>
      <c r="Q224" s="272"/>
      <c r="R224" s="272"/>
      <c r="S224" s="272"/>
      <c r="T224" s="272"/>
      <c r="U224" s="272"/>
      <c r="V224" s="272"/>
      <c r="W224" s="272"/>
      <c r="X224" s="272"/>
      <c r="Y224" s="272"/>
      <c r="Z224" s="272"/>
      <c r="AA224" s="272"/>
      <c r="AB224" s="272"/>
      <c r="AC224" s="271"/>
      <c r="AD224" s="271"/>
    </row>
    <row r="225" spans="5:30" customFormat="1" x14ac:dyDescent="0.25">
      <c r="E225" s="2"/>
      <c r="F225" t="s">
        <v>191</v>
      </c>
      <c r="G225" t="s">
        <v>271</v>
      </c>
      <c r="H225" s="271"/>
      <c r="I225" s="271"/>
      <c r="J225" s="289">
        <f t="shared" ref="J225:K225" si="216">J$78 * J195</f>
        <v>0</v>
      </c>
      <c r="K225" s="289">
        <f t="shared" si="216"/>
        <v>0</v>
      </c>
      <c r="L225" s="289">
        <f t="shared" ref="L225:M225" si="217">L$78 * L195</f>
        <v>0</v>
      </c>
      <c r="M225" s="289">
        <f t="shared" si="217"/>
        <v>0</v>
      </c>
      <c r="N225" s="289">
        <f t="shared" ref="N225:P225" si="218">N$78 * N195</f>
        <v>0</v>
      </c>
      <c r="O225" s="289">
        <f t="shared" si="218"/>
        <v>0</v>
      </c>
      <c r="P225" s="289">
        <f t="shared" si="218"/>
        <v>0</v>
      </c>
      <c r="Q225" s="289">
        <f t="shared" ref="Q225:S225" si="219">Q$78 * Q195</f>
        <v>0</v>
      </c>
      <c r="R225" s="289">
        <f t="shared" si="219"/>
        <v>0</v>
      </c>
      <c r="S225" s="289">
        <f t="shared" si="219"/>
        <v>0</v>
      </c>
      <c r="T225" s="289">
        <f t="shared" ref="T225:V225" si="220">T$78 * T195</f>
        <v>0</v>
      </c>
      <c r="U225" s="289">
        <f t="shared" si="220"/>
        <v>0</v>
      </c>
      <c r="V225" s="289">
        <f t="shared" si="220"/>
        <v>0</v>
      </c>
      <c r="W225" s="289">
        <f t="shared" ref="W225:X225" si="221">W$78 * W195</f>
        <v>0</v>
      </c>
      <c r="X225" s="289">
        <f t="shared" si="221"/>
        <v>0</v>
      </c>
      <c r="Y225" s="289">
        <f t="shared" ref="Y225:Z225" si="222">Y$78 * Y195</f>
        <v>0</v>
      </c>
      <c r="Z225" s="289">
        <f t="shared" si="222"/>
        <v>0</v>
      </c>
      <c r="AA225" s="289">
        <f t="shared" ref="AA225:AB225" si="223">AA$78 * AA195</f>
        <v>0</v>
      </c>
      <c r="AB225" s="289">
        <f t="shared" si="223"/>
        <v>0</v>
      </c>
      <c r="AC225" s="271"/>
      <c r="AD225" s="271"/>
    </row>
    <row r="226" spans="5:30" customFormat="1" x14ac:dyDescent="0.25">
      <c r="E226" s="2"/>
      <c r="F226" t="s">
        <v>192</v>
      </c>
      <c r="G226" t="s">
        <v>271</v>
      </c>
      <c r="H226" s="271"/>
      <c r="I226" s="271"/>
      <c r="J226" s="289">
        <f t="shared" ref="J226:K226" si="224">J$78 * J196</f>
        <v>0</v>
      </c>
      <c r="K226" s="289">
        <f t="shared" si="224"/>
        <v>0</v>
      </c>
      <c r="L226" s="289">
        <f t="shared" ref="L226:M226" si="225">L$78 * L196</f>
        <v>0</v>
      </c>
      <c r="M226" s="289">
        <f t="shared" si="225"/>
        <v>0</v>
      </c>
      <c r="N226" s="289">
        <f t="shared" ref="N226:P226" si="226">N$78 * N196</f>
        <v>0</v>
      </c>
      <c r="O226" s="289">
        <f t="shared" si="226"/>
        <v>0</v>
      </c>
      <c r="P226" s="289">
        <f t="shared" si="226"/>
        <v>0</v>
      </c>
      <c r="Q226" s="289">
        <f t="shared" ref="Q226:S226" si="227">Q$78 * Q196</f>
        <v>0</v>
      </c>
      <c r="R226" s="289">
        <f t="shared" si="227"/>
        <v>0</v>
      </c>
      <c r="S226" s="289">
        <f t="shared" si="227"/>
        <v>0</v>
      </c>
      <c r="T226" s="289">
        <f t="shared" ref="T226:V226" si="228">T$78 * T196</f>
        <v>0</v>
      </c>
      <c r="U226" s="289">
        <f t="shared" si="228"/>
        <v>0</v>
      </c>
      <c r="V226" s="289">
        <f t="shared" si="228"/>
        <v>0</v>
      </c>
      <c r="W226" s="289">
        <f t="shared" ref="W226:X226" si="229">W$78 * W196</f>
        <v>0</v>
      </c>
      <c r="X226" s="289">
        <f t="shared" si="229"/>
        <v>0</v>
      </c>
      <c r="Y226" s="289">
        <f t="shared" ref="Y226:Z226" si="230">Y$78 * Y196</f>
        <v>0</v>
      </c>
      <c r="Z226" s="289">
        <f t="shared" si="230"/>
        <v>0</v>
      </c>
      <c r="AA226" s="289">
        <f t="shared" ref="AA226:AB226" si="231">AA$78 * AA196</f>
        <v>0</v>
      </c>
      <c r="AB226" s="289">
        <f t="shared" si="231"/>
        <v>0</v>
      </c>
      <c r="AC226" s="271"/>
      <c r="AD226" s="271"/>
    </row>
    <row r="227" spans="5:30" customFormat="1" x14ac:dyDescent="0.25">
      <c r="E227" s="2"/>
      <c r="F227" t="s">
        <v>193</v>
      </c>
      <c r="G227" t="s">
        <v>271</v>
      </c>
      <c r="H227" s="271"/>
      <c r="I227" s="271"/>
      <c r="J227" s="289">
        <f t="shared" ref="J227:K227" si="232">J$78 * J197</f>
        <v>0</v>
      </c>
      <c r="K227" s="289">
        <f t="shared" si="232"/>
        <v>0</v>
      </c>
      <c r="L227" s="289">
        <f t="shared" ref="L227:M227" si="233">L$78 * L197</f>
        <v>0</v>
      </c>
      <c r="M227" s="289">
        <f t="shared" si="233"/>
        <v>0</v>
      </c>
      <c r="N227" s="289">
        <f t="shared" ref="N227:P227" si="234">N$78 * N197</f>
        <v>5.529703092630299E-2</v>
      </c>
      <c r="O227" s="289">
        <f t="shared" si="234"/>
        <v>4.3550937994187293E-2</v>
      </c>
      <c r="P227" s="289">
        <f t="shared" si="234"/>
        <v>3.266650868561357E-2</v>
      </c>
      <c r="Q227" s="289">
        <f t="shared" ref="Q227:S227" si="235">Q$78 * Q197</f>
        <v>5.529703092630299E-2</v>
      </c>
      <c r="R227" s="289">
        <f t="shared" si="235"/>
        <v>4.3550937994187293E-2</v>
      </c>
      <c r="S227" s="289">
        <f t="shared" si="235"/>
        <v>3.266650868561357E-2</v>
      </c>
      <c r="T227" s="289">
        <f t="shared" ref="T227:V227" si="236">T$78 * T197</f>
        <v>0</v>
      </c>
      <c r="U227" s="289">
        <f t="shared" si="236"/>
        <v>0</v>
      </c>
      <c r="V227" s="289">
        <f t="shared" si="236"/>
        <v>0</v>
      </c>
      <c r="W227" s="289">
        <f t="shared" ref="W227:X227" si="237">W$78 * W197</f>
        <v>3.9232431980039721E-2</v>
      </c>
      <c r="X227" s="289">
        <f t="shared" si="237"/>
        <v>0</v>
      </c>
      <c r="Y227" s="289">
        <f t="shared" ref="Y227:Z227" si="238">Y$78 * Y197</f>
        <v>3.7302968112168919E-2</v>
      </c>
      <c r="Z227" s="289">
        <f t="shared" si="238"/>
        <v>0</v>
      </c>
      <c r="AA227" s="289">
        <f t="shared" ref="AA227:AB227" si="239">AA$78 * AA197</f>
        <v>3.551967574943983E-2</v>
      </c>
      <c r="AB227" s="289">
        <f t="shared" si="239"/>
        <v>0</v>
      </c>
      <c r="AC227" s="271"/>
      <c r="AD227" s="271"/>
    </row>
    <row r="228" spans="5:30" customFormat="1" x14ac:dyDescent="0.25">
      <c r="E228" s="2"/>
      <c r="F228" t="s">
        <v>194</v>
      </c>
      <c r="G228" t="s">
        <v>271</v>
      </c>
      <c r="H228" s="271"/>
      <c r="I228" s="271"/>
      <c r="J228" s="289">
        <f t="shared" ref="J228:K228" si="240">J$78 * J198</f>
        <v>0</v>
      </c>
      <c r="K228" s="289">
        <f t="shared" si="240"/>
        <v>0</v>
      </c>
      <c r="L228" s="289">
        <f t="shared" ref="L228:M228" si="241">L$78 * L198</f>
        <v>0</v>
      </c>
      <c r="M228" s="289">
        <f t="shared" si="241"/>
        <v>0</v>
      </c>
      <c r="N228" s="289">
        <f t="shared" ref="N228:P228" si="242">N$78 * N198</f>
        <v>1.1593600282072188E-2</v>
      </c>
      <c r="O228" s="289">
        <f t="shared" si="242"/>
        <v>9.1309091746144353E-3</v>
      </c>
      <c r="P228" s="289">
        <f t="shared" si="242"/>
        <v>0</v>
      </c>
      <c r="Q228" s="289">
        <f t="shared" ref="Q228:S228" si="243">Q$78 * Q198</f>
        <v>1.1593600282072188E-2</v>
      </c>
      <c r="R228" s="289">
        <f t="shared" si="243"/>
        <v>9.1309091746144353E-3</v>
      </c>
      <c r="S228" s="289">
        <f t="shared" si="243"/>
        <v>0</v>
      </c>
      <c r="T228" s="289">
        <f t="shared" ref="T228:V228" si="244">T$78 * T198</f>
        <v>0</v>
      </c>
      <c r="U228" s="289">
        <f t="shared" si="244"/>
        <v>0</v>
      </c>
      <c r="V228" s="289">
        <f t="shared" si="244"/>
        <v>0</v>
      </c>
      <c r="W228" s="289">
        <f t="shared" ref="W228:X228" si="245">W$78 * W198</f>
        <v>8.2254892686075744E-3</v>
      </c>
      <c r="X228" s="289">
        <f t="shared" si="245"/>
        <v>0</v>
      </c>
      <c r="Y228" s="289">
        <f t="shared" ref="Y228:Z228" si="246">Y$78 * Y198</f>
        <v>7.820957009495727E-3</v>
      </c>
      <c r="Z228" s="289">
        <f t="shared" si="246"/>
        <v>0</v>
      </c>
      <c r="AA228" s="289">
        <f t="shared" ref="AA228:AB228" si="247">AA$78 * AA198</f>
        <v>6.5937426188785323E-3</v>
      </c>
      <c r="AB228" s="289">
        <f t="shared" si="247"/>
        <v>0</v>
      </c>
      <c r="AC228" s="271"/>
      <c r="AD228" s="271"/>
    </row>
    <row r="229" spans="5:30" customFormat="1" x14ac:dyDescent="0.25">
      <c r="E229" s="2"/>
      <c r="F229" t="s">
        <v>195</v>
      </c>
      <c r="G229" t="s">
        <v>271</v>
      </c>
      <c r="H229" s="271"/>
      <c r="I229" s="271"/>
      <c r="J229" s="289">
        <f t="shared" ref="J229:K229" si="248">J$78 * J199</f>
        <v>0</v>
      </c>
      <c r="K229" s="289">
        <f t="shared" si="248"/>
        <v>0</v>
      </c>
      <c r="L229" s="289">
        <f t="shared" ref="L229:M229" si="249">L$78 * L199</f>
        <v>0</v>
      </c>
      <c r="M229" s="289">
        <f t="shared" si="249"/>
        <v>0</v>
      </c>
      <c r="N229" s="289">
        <f t="shared" ref="N229:P229" si="250">N$78 * N199</f>
        <v>0</v>
      </c>
      <c r="O229" s="289">
        <f t="shared" si="250"/>
        <v>0</v>
      </c>
      <c r="P229" s="289">
        <f t="shared" si="250"/>
        <v>0</v>
      </c>
      <c r="Q229" s="289">
        <f t="shared" ref="Q229:S229" si="251">Q$78 * Q199</f>
        <v>0</v>
      </c>
      <c r="R229" s="289">
        <f t="shared" si="251"/>
        <v>0</v>
      </c>
      <c r="S229" s="289">
        <f t="shared" si="251"/>
        <v>0</v>
      </c>
      <c r="T229" s="289">
        <f t="shared" ref="T229:V229" si="252">T$78 * T199</f>
        <v>0</v>
      </c>
      <c r="U229" s="289">
        <f t="shared" si="252"/>
        <v>0</v>
      </c>
      <c r="V229" s="289">
        <f t="shared" si="252"/>
        <v>0</v>
      </c>
      <c r="W229" s="289">
        <f t="shared" ref="W229:X229" si="253">W$78 * W199</f>
        <v>0</v>
      </c>
      <c r="X229" s="289">
        <f t="shared" si="253"/>
        <v>0</v>
      </c>
      <c r="Y229" s="289">
        <f t="shared" ref="Y229:Z229" si="254">Y$78 * Y199</f>
        <v>0</v>
      </c>
      <c r="Z229" s="289">
        <f t="shared" si="254"/>
        <v>0</v>
      </c>
      <c r="AA229" s="289">
        <f t="shared" ref="AA229:AB229" si="255">AA$78 * AA199</f>
        <v>0</v>
      </c>
      <c r="AB229" s="289">
        <f t="shared" si="255"/>
        <v>0</v>
      </c>
      <c r="AC229" s="271"/>
      <c r="AD229" s="271"/>
    </row>
    <row r="230" spans="5:30" customFormat="1" x14ac:dyDescent="0.25">
      <c r="E230" s="2"/>
      <c r="F230" t="s">
        <v>196</v>
      </c>
      <c r="G230" t="s">
        <v>271</v>
      </c>
      <c r="H230" s="271"/>
      <c r="I230" s="271"/>
      <c r="J230" s="289">
        <f t="shared" ref="J230:K230" si="256">J$78 * J200</f>
        <v>0</v>
      </c>
      <c r="K230" s="289">
        <f t="shared" si="256"/>
        <v>0</v>
      </c>
      <c r="L230" s="289">
        <f t="shared" ref="L230:M230" si="257">L$78 * L200</f>
        <v>0</v>
      </c>
      <c r="M230" s="289">
        <f t="shared" si="257"/>
        <v>0</v>
      </c>
      <c r="N230" s="289">
        <f t="shared" ref="N230:P230" si="258">N$78 * N200</f>
        <v>3.1894621193200322E-2</v>
      </c>
      <c r="O230" s="289">
        <f t="shared" si="258"/>
        <v>0</v>
      </c>
      <c r="P230" s="289">
        <f t="shared" si="258"/>
        <v>0</v>
      </c>
      <c r="Q230" s="289">
        <f t="shared" ref="Q230:S230" si="259">Q$78 * Q200</f>
        <v>3.1894621193200322E-2</v>
      </c>
      <c r="R230" s="289">
        <f t="shared" si="259"/>
        <v>0</v>
      </c>
      <c r="S230" s="289">
        <f t="shared" si="259"/>
        <v>0</v>
      </c>
      <c r="T230" s="289">
        <f t="shared" ref="T230:V230" si="260">T$78 * T200</f>
        <v>0</v>
      </c>
      <c r="U230" s="289">
        <f t="shared" si="260"/>
        <v>0</v>
      </c>
      <c r="V230" s="289">
        <f t="shared" si="260"/>
        <v>0</v>
      </c>
      <c r="W230" s="289">
        <f t="shared" ref="W230:X230" si="261">W$78 * W200</f>
        <v>2.8285957119448174E-2</v>
      </c>
      <c r="X230" s="289">
        <f t="shared" si="261"/>
        <v>0</v>
      </c>
      <c r="Y230" s="289">
        <f t="shared" ref="Y230:Z230" si="262">Y$78 * Y200</f>
        <v>2.6894844474229407E-2</v>
      </c>
      <c r="Z230" s="289">
        <f t="shared" si="262"/>
        <v>0</v>
      </c>
      <c r="AA230" s="289">
        <f t="shared" ref="AA230:AB230" si="263">AA$78 * AA200</f>
        <v>1.8137724185011792E-2</v>
      </c>
      <c r="AB230" s="289">
        <f t="shared" si="263"/>
        <v>0</v>
      </c>
      <c r="AC230" s="271"/>
      <c r="AD230" s="271"/>
    </row>
    <row r="231" spans="5:30" customFormat="1" x14ac:dyDescent="0.25">
      <c r="E231" s="2"/>
      <c r="F231" t="s">
        <v>197</v>
      </c>
      <c r="G231" t="s">
        <v>271</v>
      </c>
      <c r="H231" s="271"/>
      <c r="I231" s="271"/>
      <c r="J231" s="289">
        <f t="shared" ref="J231:K231" si="264">J$78 * J201</f>
        <v>0</v>
      </c>
      <c r="K231" s="289">
        <f t="shared" si="264"/>
        <v>0</v>
      </c>
      <c r="L231" s="289">
        <f t="shared" ref="L231:M231" si="265">L$78 * L201</f>
        <v>0</v>
      </c>
      <c r="M231" s="289">
        <f t="shared" si="265"/>
        <v>0</v>
      </c>
      <c r="N231" s="289">
        <f t="shared" ref="N231:P231" si="266">N$78 * N201</f>
        <v>0</v>
      </c>
      <c r="O231" s="289">
        <f t="shared" si="266"/>
        <v>0</v>
      </c>
      <c r="P231" s="289">
        <f t="shared" si="266"/>
        <v>0</v>
      </c>
      <c r="Q231" s="289">
        <f t="shared" ref="Q231:S231" si="267">Q$78 * Q201</f>
        <v>0</v>
      </c>
      <c r="R231" s="289">
        <f t="shared" si="267"/>
        <v>0</v>
      </c>
      <c r="S231" s="289">
        <f t="shared" si="267"/>
        <v>0</v>
      </c>
      <c r="T231" s="289">
        <f t="shared" ref="T231:V231" si="268">T$78 * T201</f>
        <v>0</v>
      </c>
      <c r="U231" s="289">
        <f t="shared" si="268"/>
        <v>0</v>
      </c>
      <c r="V231" s="289">
        <f t="shared" si="268"/>
        <v>0</v>
      </c>
      <c r="W231" s="289">
        <f t="shared" ref="W231:X231" si="269">W$78 * W201</f>
        <v>6.4951112158389869E-3</v>
      </c>
      <c r="X231" s="289">
        <f t="shared" si="269"/>
        <v>0</v>
      </c>
      <c r="Y231" s="289">
        <f t="shared" ref="Y231:Z231" si="270">Y$78 * Y201</f>
        <v>6.1756795166993637E-3</v>
      </c>
      <c r="Z231" s="289">
        <f t="shared" si="270"/>
        <v>0</v>
      </c>
      <c r="AA231" s="289">
        <f t="shared" ref="AA231:AB231" si="271">AA$78 * AA201</f>
        <v>0</v>
      </c>
      <c r="AB231" s="289">
        <f t="shared" si="271"/>
        <v>0</v>
      </c>
      <c r="AC231" s="271"/>
      <c r="AD231" s="271"/>
    </row>
    <row r="232" spans="5:30" customFormat="1" x14ac:dyDescent="0.25">
      <c r="E232" s="2"/>
      <c r="F232" t="s">
        <v>198</v>
      </c>
      <c r="G232" t="s">
        <v>271</v>
      </c>
      <c r="H232" s="271"/>
      <c r="I232" s="271"/>
      <c r="J232" s="289">
        <f t="shared" ref="J232:K232" si="272">J$78 * J202</f>
        <v>0</v>
      </c>
      <c r="K232" s="289">
        <f t="shared" si="272"/>
        <v>0</v>
      </c>
      <c r="L232" s="289">
        <f t="shared" ref="L232:M232" si="273">L$78 * L202</f>
        <v>0</v>
      </c>
      <c r="M232" s="289">
        <f t="shared" si="273"/>
        <v>0</v>
      </c>
      <c r="N232" s="289">
        <f t="shared" ref="N232:P232" si="274">N$78 * N202</f>
        <v>0</v>
      </c>
      <c r="O232" s="289">
        <f t="shared" si="274"/>
        <v>0</v>
      </c>
      <c r="P232" s="289">
        <f t="shared" si="274"/>
        <v>0</v>
      </c>
      <c r="Q232" s="289">
        <f t="shared" ref="Q232:S232" si="275">Q$78 * Q202</f>
        <v>0</v>
      </c>
      <c r="R232" s="289">
        <f t="shared" si="275"/>
        <v>0</v>
      </c>
      <c r="S232" s="289">
        <f t="shared" si="275"/>
        <v>0</v>
      </c>
      <c r="T232" s="289">
        <f t="shared" ref="T232:V232" si="276">T$78 * T202</f>
        <v>0</v>
      </c>
      <c r="U232" s="289">
        <f t="shared" si="276"/>
        <v>0</v>
      </c>
      <c r="V232" s="289">
        <f t="shared" si="276"/>
        <v>0</v>
      </c>
      <c r="W232" s="289">
        <f t="shared" ref="W232:X232" si="277">W$78 * W202</f>
        <v>1.1411273239274064E-3</v>
      </c>
      <c r="X232" s="289">
        <f t="shared" si="277"/>
        <v>0</v>
      </c>
      <c r="Y232" s="289">
        <f t="shared" ref="Y232:Z232" si="278">Y$78 * Y202</f>
        <v>0</v>
      </c>
      <c r="Z232" s="289">
        <f t="shared" si="278"/>
        <v>0</v>
      </c>
      <c r="AA232" s="289">
        <f t="shared" ref="AA232:AB232" si="279">AA$78 * AA202</f>
        <v>0</v>
      </c>
      <c r="AB232" s="289">
        <f t="shared" si="279"/>
        <v>0</v>
      </c>
      <c r="AC232" s="271"/>
      <c r="AD232" s="271"/>
    </row>
    <row r="233" spans="5:30" customFormat="1" x14ac:dyDescent="0.25">
      <c r="E233" s="2"/>
      <c r="F233" t="s">
        <v>375</v>
      </c>
      <c r="G233" t="s">
        <v>271</v>
      </c>
      <c r="H233" s="271"/>
      <c r="I233" s="271"/>
      <c r="J233" s="272"/>
      <c r="K233" s="272"/>
      <c r="L233" s="272"/>
      <c r="M233" s="272"/>
      <c r="N233" s="272"/>
      <c r="O233" s="272"/>
      <c r="P233" s="272"/>
      <c r="Q233" s="272"/>
      <c r="R233" s="272"/>
      <c r="S233" s="272"/>
      <c r="T233" s="272"/>
      <c r="U233" s="272"/>
      <c r="V233" s="272"/>
      <c r="W233" s="272"/>
      <c r="X233" s="272"/>
      <c r="Y233" s="272"/>
      <c r="Z233" s="272"/>
      <c r="AA233" s="272"/>
      <c r="AB233" s="272"/>
      <c r="AC233" s="271"/>
      <c r="AD233" s="271"/>
    </row>
    <row r="234" spans="5:30" customFormat="1" x14ac:dyDescent="0.25">
      <c r="E234" s="2"/>
      <c r="F234" s="37" t="s">
        <v>376</v>
      </c>
      <c r="G234" s="37" t="s">
        <v>271</v>
      </c>
      <c r="H234" s="275"/>
      <c r="I234" s="275"/>
      <c r="J234" s="276"/>
      <c r="K234" s="276"/>
      <c r="L234" s="276"/>
      <c r="M234" s="276"/>
      <c r="N234" s="276"/>
      <c r="O234" s="276"/>
      <c r="P234" s="276"/>
      <c r="Q234" s="276"/>
      <c r="R234" s="276"/>
      <c r="S234" s="276"/>
      <c r="T234" s="276"/>
      <c r="U234" s="276"/>
      <c r="V234" s="276"/>
      <c r="W234" s="276"/>
      <c r="X234" s="276"/>
      <c r="Y234" s="276"/>
      <c r="Z234" s="276"/>
      <c r="AA234" s="276"/>
      <c r="AB234" s="276"/>
      <c r="AC234" s="271"/>
      <c r="AD234" s="271"/>
    </row>
    <row r="235" spans="5:30" customFormat="1" x14ac:dyDescent="0.25">
      <c r="E235" s="2"/>
      <c r="J235" s="89"/>
      <c r="K235" s="89"/>
      <c r="L235" s="89"/>
      <c r="M235" s="89"/>
      <c r="N235" s="89"/>
      <c r="O235" s="89"/>
      <c r="P235" s="89"/>
      <c r="Q235" s="89"/>
      <c r="R235" s="89"/>
      <c r="S235" s="89"/>
      <c r="T235" s="89"/>
      <c r="U235" s="89"/>
      <c r="V235" s="89"/>
      <c r="W235" s="89"/>
      <c r="X235" s="89"/>
      <c r="Y235" s="89"/>
      <c r="Z235" s="89"/>
      <c r="AA235" s="89"/>
      <c r="AB235" s="89"/>
    </row>
    <row r="236" spans="5:30" customFormat="1" x14ac:dyDescent="0.25">
      <c r="E236" s="32" t="s">
        <v>621</v>
      </c>
      <c r="J236" s="89"/>
      <c r="K236" s="89"/>
      <c r="L236" s="89"/>
      <c r="M236" s="89"/>
      <c r="N236" s="89"/>
      <c r="O236" s="89"/>
      <c r="P236" s="89"/>
      <c r="Q236" s="89"/>
      <c r="R236" s="89"/>
      <c r="S236" s="89"/>
      <c r="T236" s="89"/>
      <c r="U236" s="89"/>
      <c r="V236" s="89"/>
      <c r="W236" s="89"/>
      <c r="X236" s="89"/>
      <c r="Y236" s="89"/>
      <c r="Z236" s="89"/>
      <c r="AA236" s="89"/>
      <c r="AB236" s="89"/>
    </row>
    <row r="237" spans="5:30" customFormat="1" x14ac:dyDescent="0.25">
      <c r="E237" s="2"/>
      <c r="F237" s="23" t="s">
        <v>188</v>
      </c>
      <c r="G237" s="23" t="s">
        <v>271</v>
      </c>
      <c r="H237" s="269"/>
      <c r="I237" s="269"/>
      <c r="J237" s="288">
        <f t="shared" ref="J237:K237" si="280">J$78 * J207</f>
        <v>0</v>
      </c>
      <c r="K237" s="288">
        <f t="shared" si="280"/>
        <v>0</v>
      </c>
      <c r="L237" s="288">
        <f t="shared" ref="L237:M237" si="281">L$78 * L207</f>
        <v>0</v>
      </c>
      <c r="M237" s="288">
        <f t="shared" si="281"/>
        <v>0</v>
      </c>
      <c r="N237" s="288">
        <f t="shared" ref="N237:P237" si="282">N$78 * N207</f>
        <v>5.7739462168071583E-2</v>
      </c>
      <c r="O237" s="288">
        <f t="shared" si="282"/>
        <v>4.547455251351102E-2</v>
      </c>
      <c r="P237" s="288">
        <f t="shared" si="282"/>
        <v>4.4005292609106447E-2</v>
      </c>
      <c r="Q237" s="288">
        <f t="shared" ref="Q237:S237" si="283">Q$78 * Q207</f>
        <v>5.7739462168071583E-2</v>
      </c>
      <c r="R237" s="288">
        <f t="shared" si="283"/>
        <v>4.547455251351102E-2</v>
      </c>
      <c r="S237" s="288">
        <f t="shared" si="283"/>
        <v>4.4005292609106447E-2</v>
      </c>
      <c r="T237" s="288">
        <f t="shared" ref="T237:V237" si="284">T$78 * T207</f>
        <v>0</v>
      </c>
      <c r="U237" s="288">
        <f t="shared" si="284"/>
        <v>0</v>
      </c>
      <c r="V237" s="288">
        <f t="shared" si="284"/>
        <v>0</v>
      </c>
      <c r="W237" s="288">
        <f t="shared" ref="W237:X237" si="285">W$78 * W207</f>
        <v>4.0965301104357039E-2</v>
      </c>
      <c r="X237" s="288">
        <f t="shared" si="285"/>
        <v>0</v>
      </c>
      <c r="Y237" s="288">
        <f t="shared" ref="Y237:Z237" si="286">Y$78 * Y207</f>
        <v>3.8950614164798496E-2</v>
      </c>
      <c r="Z237" s="288">
        <f t="shared" si="286"/>
        <v>0</v>
      </c>
      <c r="AA237" s="288">
        <f t="shared" ref="AA237:AB237" si="287">AA$78 * AA207</f>
        <v>3.827905185161231E-2</v>
      </c>
      <c r="AB237" s="288">
        <f t="shared" si="287"/>
        <v>0</v>
      </c>
      <c r="AC237" s="271"/>
      <c r="AD237" s="271"/>
    </row>
    <row r="238" spans="5:30" customFormat="1" x14ac:dyDescent="0.25">
      <c r="E238" s="2"/>
      <c r="F238" t="s">
        <v>190</v>
      </c>
      <c r="G238" t="s">
        <v>271</v>
      </c>
      <c r="H238" s="271"/>
      <c r="I238" s="271"/>
      <c r="J238" s="289">
        <f t="shared" ref="J238:K238" si="288">J$78 * J208</f>
        <v>0</v>
      </c>
      <c r="K238" s="289">
        <f t="shared" si="288"/>
        <v>0</v>
      </c>
      <c r="L238" s="289">
        <f t="shared" ref="L238:M238" si="289">L$78 * L208</f>
        <v>0</v>
      </c>
      <c r="M238" s="289">
        <f t="shared" si="289"/>
        <v>0</v>
      </c>
      <c r="N238" s="289">
        <f t="shared" ref="N238:P238" si="290">N$78 * N208</f>
        <v>0</v>
      </c>
      <c r="O238" s="289">
        <f t="shared" si="290"/>
        <v>0</v>
      </c>
      <c r="P238" s="289">
        <f t="shared" si="290"/>
        <v>0</v>
      </c>
      <c r="Q238" s="289">
        <f t="shared" ref="Q238:S238" si="291">Q$78 * Q208</f>
        <v>0</v>
      </c>
      <c r="R238" s="289">
        <f t="shared" si="291"/>
        <v>0</v>
      </c>
      <c r="S238" s="289">
        <f t="shared" si="291"/>
        <v>0</v>
      </c>
      <c r="T238" s="289">
        <f t="shared" ref="T238:V238" si="292">T$78 * T208</f>
        <v>0</v>
      </c>
      <c r="U238" s="289">
        <f t="shared" si="292"/>
        <v>0</v>
      </c>
      <c r="V238" s="289">
        <f t="shared" si="292"/>
        <v>0</v>
      </c>
      <c r="W238" s="289">
        <f t="shared" ref="W238:X238" si="293">W$78 * W208</f>
        <v>0</v>
      </c>
      <c r="X238" s="289">
        <f t="shared" si="293"/>
        <v>0</v>
      </c>
      <c r="Y238" s="289">
        <f t="shared" ref="Y238:Z238" si="294">Y$78 * Y208</f>
        <v>0</v>
      </c>
      <c r="Z238" s="289">
        <f t="shared" si="294"/>
        <v>0</v>
      </c>
      <c r="AA238" s="289">
        <f t="shared" ref="AA238:AB238" si="295">AA$78 * AA208</f>
        <v>0</v>
      </c>
      <c r="AB238" s="289">
        <f t="shared" si="295"/>
        <v>0</v>
      </c>
      <c r="AC238" s="271"/>
      <c r="AD238" s="271"/>
    </row>
    <row r="239" spans="5:30" customFormat="1" x14ac:dyDescent="0.25">
      <c r="E239" s="2"/>
      <c r="F239" t="s">
        <v>191</v>
      </c>
      <c r="G239" t="s">
        <v>271</v>
      </c>
      <c r="H239" s="271"/>
      <c r="I239" s="271"/>
      <c r="J239" s="289">
        <f t="shared" ref="J239:K239" si="296">J$78 * J209</f>
        <v>0</v>
      </c>
      <c r="K239" s="289">
        <f t="shared" si="296"/>
        <v>0</v>
      </c>
      <c r="L239" s="289">
        <f t="shared" ref="L239:M239" si="297">L$78 * L209</f>
        <v>0</v>
      </c>
      <c r="M239" s="289">
        <f t="shared" si="297"/>
        <v>0</v>
      </c>
      <c r="N239" s="289">
        <f t="shared" ref="N239:P239" si="298">N$78 * N209</f>
        <v>0</v>
      </c>
      <c r="O239" s="289">
        <f t="shared" si="298"/>
        <v>0</v>
      </c>
      <c r="P239" s="289">
        <f t="shared" si="298"/>
        <v>0</v>
      </c>
      <c r="Q239" s="289">
        <f t="shared" ref="Q239:S239" si="299">Q$78 * Q209</f>
        <v>0</v>
      </c>
      <c r="R239" s="289">
        <f t="shared" si="299"/>
        <v>0</v>
      </c>
      <c r="S239" s="289">
        <f t="shared" si="299"/>
        <v>0</v>
      </c>
      <c r="T239" s="289">
        <f t="shared" ref="T239:V239" si="300">T$78 * T209</f>
        <v>0</v>
      </c>
      <c r="U239" s="289">
        <f t="shared" si="300"/>
        <v>0</v>
      </c>
      <c r="V239" s="289">
        <f t="shared" si="300"/>
        <v>0</v>
      </c>
      <c r="W239" s="289">
        <f t="shared" ref="W239:X239" si="301">W$78 * W209</f>
        <v>0</v>
      </c>
      <c r="X239" s="289">
        <f t="shared" si="301"/>
        <v>0</v>
      </c>
      <c r="Y239" s="289">
        <f t="shared" ref="Y239:Z239" si="302">Y$78 * Y209</f>
        <v>0</v>
      </c>
      <c r="Z239" s="289">
        <f t="shared" si="302"/>
        <v>0</v>
      </c>
      <c r="AA239" s="289">
        <f t="shared" ref="AA239:AB239" si="303">AA$78 * AA209</f>
        <v>0</v>
      </c>
      <c r="AB239" s="289">
        <f t="shared" si="303"/>
        <v>0</v>
      </c>
      <c r="AC239" s="271"/>
      <c r="AD239" s="271"/>
    </row>
    <row r="240" spans="5:30" customFormat="1" x14ac:dyDescent="0.25">
      <c r="E240" s="2"/>
      <c r="F240" t="s">
        <v>192</v>
      </c>
      <c r="G240" t="s">
        <v>271</v>
      </c>
      <c r="H240" s="271"/>
      <c r="I240" s="271"/>
      <c r="J240" s="289">
        <f t="shared" ref="J240:K240" si="304">J$78 * J210</f>
        <v>0</v>
      </c>
      <c r="K240" s="289">
        <f t="shared" si="304"/>
        <v>0</v>
      </c>
      <c r="L240" s="289">
        <f t="shared" ref="L240:M240" si="305">L$78 * L210</f>
        <v>0</v>
      </c>
      <c r="M240" s="289">
        <f t="shared" si="305"/>
        <v>0</v>
      </c>
      <c r="N240" s="289">
        <f t="shared" ref="N240:P240" si="306">N$78 * N210</f>
        <v>0</v>
      </c>
      <c r="O240" s="289">
        <f t="shared" si="306"/>
        <v>0</v>
      </c>
      <c r="P240" s="289">
        <f t="shared" si="306"/>
        <v>0</v>
      </c>
      <c r="Q240" s="289">
        <f t="shared" ref="Q240:S240" si="307">Q$78 * Q210</f>
        <v>0</v>
      </c>
      <c r="R240" s="289">
        <f t="shared" si="307"/>
        <v>0</v>
      </c>
      <c r="S240" s="289">
        <f t="shared" si="307"/>
        <v>0</v>
      </c>
      <c r="T240" s="289">
        <f t="shared" ref="T240:V240" si="308">T$78 * T210</f>
        <v>0</v>
      </c>
      <c r="U240" s="289">
        <f t="shared" si="308"/>
        <v>0</v>
      </c>
      <c r="V240" s="289">
        <f t="shared" si="308"/>
        <v>0</v>
      </c>
      <c r="W240" s="289">
        <f t="shared" ref="W240:X240" si="309">W$78 * W210</f>
        <v>0</v>
      </c>
      <c r="X240" s="289">
        <f t="shared" si="309"/>
        <v>0</v>
      </c>
      <c r="Y240" s="289">
        <f t="shared" ref="Y240:Z240" si="310">Y$78 * Y210</f>
        <v>0</v>
      </c>
      <c r="Z240" s="289">
        <f t="shared" si="310"/>
        <v>0</v>
      </c>
      <c r="AA240" s="289">
        <f t="shared" ref="AA240:AB240" si="311">AA$78 * AA210</f>
        <v>0</v>
      </c>
      <c r="AB240" s="289">
        <f t="shared" si="311"/>
        <v>0</v>
      </c>
      <c r="AC240" s="271"/>
      <c r="AD240" s="271"/>
    </row>
    <row r="241" spans="2:30" x14ac:dyDescent="0.25">
      <c r="D241"/>
      <c r="F241" t="s">
        <v>193</v>
      </c>
      <c r="G241" t="s">
        <v>271</v>
      </c>
      <c r="H241" s="271"/>
      <c r="I241" s="271"/>
      <c r="J241" s="289">
        <f t="shared" ref="J241:K241" si="312">J$78 * J211</f>
        <v>0</v>
      </c>
      <c r="K241" s="289">
        <f t="shared" si="312"/>
        <v>0</v>
      </c>
      <c r="L241" s="289">
        <f t="shared" ref="L241:M241" si="313">L$78 * L211</f>
        <v>0</v>
      </c>
      <c r="M241" s="289">
        <f t="shared" si="313"/>
        <v>0</v>
      </c>
      <c r="N241" s="289">
        <f t="shared" ref="N241:P241" si="314">N$78 * N211</f>
        <v>4.0866904890781555E-2</v>
      </c>
      <c r="O241" s="289">
        <f t="shared" si="314"/>
        <v>3.2186032615110771E-2</v>
      </c>
      <c r="P241" s="289">
        <f t="shared" si="314"/>
        <v>2.4916894480417413E-2</v>
      </c>
      <c r="Q241" s="289">
        <f t="shared" ref="Q241:S241" si="315">Q$78 * Q211</f>
        <v>4.0866904890781555E-2</v>
      </c>
      <c r="R241" s="289">
        <f t="shared" si="315"/>
        <v>3.2186032615110771E-2</v>
      </c>
      <c r="S241" s="289">
        <f t="shared" si="315"/>
        <v>2.4916894480417413E-2</v>
      </c>
      <c r="T241" s="289">
        <f t="shared" ref="T241:V241" si="316">T$78 * T211</f>
        <v>0</v>
      </c>
      <c r="U241" s="289">
        <f t="shared" si="316"/>
        <v>0</v>
      </c>
      <c r="V241" s="289">
        <f t="shared" si="316"/>
        <v>0</v>
      </c>
      <c r="W241" s="289">
        <f t="shared" ref="W241:X241" si="317">W$78 * W211</f>
        <v>2.8994469314259311E-2</v>
      </c>
      <c r="X241" s="289">
        <f t="shared" si="317"/>
        <v>0</v>
      </c>
      <c r="Y241" s="289">
        <f t="shared" ref="Y241:Z241" si="318">Y$78 * Y211</f>
        <v>2.7568511807000658E-2</v>
      </c>
      <c r="Z241" s="289">
        <f t="shared" si="318"/>
        <v>0</v>
      </c>
      <c r="AA241" s="289">
        <f t="shared" ref="AA241:AB241" si="319">AA$78 * AA211</f>
        <v>2.7093192637914435E-2</v>
      </c>
      <c r="AB241" s="289">
        <f t="shared" si="319"/>
        <v>0</v>
      </c>
      <c r="AC241" s="271"/>
      <c r="AD241" s="271"/>
    </row>
    <row r="242" spans="2:30" x14ac:dyDescent="0.25">
      <c r="D242"/>
      <c r="F242" t="s">
        <v>194</v>
      </c>
      <c r="G242" t="s">
        <v>271</v>
      </c>
      <c r="H242" s="271"/>
      <c r="I242" s="271"/>
      <c r="J242" s="289">
        <f t="shared" ref="J242:K242" si="320">J$78 * J212</f>
        <v>0</v>
      </c>
      <c r="K242" s="289">
        <f t="shared" si="320"/>
        <v>0</v>
      </c>
      <c r="L242" s="289">
        <f t="shared" ref="L242:M242" si="321">L$78 * L212</f>
        <v>0</v>
      </c>
      <c r="M242" s="289">
        <f t="shared" si="321"/>
        <v>0</v>
      </c>
      <c r="N242" s="289">
        <f t="shared" ref="N242:P242" si="322">N$78 * N212</f>
        <v>8.5681735914651738E-3</v>
      </c>
      <c r="O242" s="289">
        <f t="shared" si="322"/>
        <v>6.7481380203333243E-3</v>
      </c>
      <c r="P242" s="289">
        <f t="shared" si="322"/>
        <v>0</v>
      </c>
      <c r="Q242" s="289">
        <f t="shared" ref="Q242:S242" si="323">Q$78 * Q212</f>
        <v>8.5681735914651738E-3</v>
      </c>
      <c r="R242" s="289">
        <f t="shared" si="323"/>
        <v>6.7481380203333243E-3</v>
      </c>
      <c r="S242" s="289">
        <f t="shared" si="323"/>
        <v>0</v>
      </c>
      <c r="T242" s="289">
        <f t="shared" ref="T242:V242" si="324">T$78 * T212</f>
        <v>0</v>
      </c>
      <c r="U242" s="289">
        <f t="shared" si="324"/>
        <v>0</v>
      </c>
      <c r="V242" s="289">
        <f t="shared" si="324"/>
        <v>0</v>
      </c>
      <c r="W242" s="289">
        <f t="shared" ref="W242:X242" si="325">W$78 * W212</f>
        <v>6.0789934285682308E-3</v>
      </c>
      <c r="X242" s="289">
        <f t="shared" si="325"/>
        <v>0</v>
      </c>
      <c r="Y242" s="289">
        <f t="shared" ref="Y242:Z242" si="326">Y$78 * Y212</f>
        <v>5.7800265386386456E-3</v>
      </c>
      <c r="Z242" s="289">
        <f t="shared" si="326"/>
        <v>0</v>
      </c>
      <c r="AA242" s="289">
        <f t="shared" ref="AA242:AB242" si="327">AA$78 * AA212</f>
        <v>5.6803709086621175E-3</v>
      </c>
      <c r="AB242" s="289">
        <f t="shared" si="327"/>
        <v>0</v>
      </c>
      <c r="AC242" s="271"/>
      <c r="AD242" s="271"/>
    </row>
    <row r="243" spans="2:30" x14ac:dyDescent="0.25">
      <c r="D243"/>
      <c r="F243" t="s">
        <v>195</v>
      </c>
      <c r="G243" t="s">
        <v>271</v>
      </c>
      <c r="H243" s="271"/>
      <c r="I243" s="271"/>
      <c r="J243" s="289">
        <f t="shared" ref="J243:K243" si="328">J$78 * J213</f>
        <v>0</v>
      </c>
      <c r="K243" s="289">
        <f t="shared" si="328"/>
        <v>0</v>
      </c>
      <c r="L243" s="289">
        <f t="shared" ref="L243:M243" si="329">L$78 * L213</f>
        <v>0</v>
      </c>
      <c r="M243" s="289">
        <f t="shared" si="329"/>
        <v>0</v>
      </c>
      <c r="N243" s="289">
        <f t="shared" ref="N243:P243" si="330">N$78 * N213</f>
        <v>0</v>
      </c>
      <c r="O243" s="289">
        <f t="shared" si="330"/>
        <v>0</v>
      </c>
      <c r="P243" s="289">
        <f t="shared" si="330"/>
        <v>0</v>
      </c>
      <c r="Q243" s="289">
        <f t="shared" ref="Q243:S243" si="331">Q$78 * Q213</f>
        <v>0</v>
      </c>
      <c r="R243" s="289">
        <f t="shared" si="331"/>
        <v>0</v>
      </c>
      <c r="S243" s="289">
        <f t="shared" si="331"/>
        <v>0</v>
      </c>
      <c r="T243" s="289">
        <f t="shared" ref="T243:V243" si="332">T$78 * T213</f>
        <v>0</v>
      </c>
      <c r="U243" s="289">
        <f t="shared" si="332"/>
        <v>0</v>
      </c>
      <c r="V243" s="289">
        <f t="shared" si="332"/>
        <v>0</v>
      </c>
      <c r="W243" s="289">
        <f t="shared" ref="W243:X243" si="333">W$78 * W213</f>
        <v>0</v>
      </c>
      <c r="X243" s="289">
        <f t="shared" si="333"/>
        <v>0</v>
      </c>
      <c r="Y243" s="289">
        <f t="shared" ref="Y243:Z243" si="334">Y$78 * Y213</f>
        <v>0</v>
      </c>
      <c r="Z243" s="289">
        <f t="shared" si="334"/>
        <v>0</v>
      </c>
      <c r="AA243" s="289">
        <f t="shared" ref="AA243:AB243" si="335">AA$78 * AA213</f>
        <v>0</v>
      </c>
      <c r="AB243" s="289">
        <f t="shared" si="335"/>
        <v>0</v>
      </c>
      <c r="AC243" s="271"/>
      <c r="AD243" s="271"/>
    </row>
    <row r="244" spans="2:30" x14ac:dyDescent="0.25">
      <c r="D244"/>
      <c r="F244" t="s">
        <v>196</v>
      </c>
      <c r="G244" t="s">
        <v>271</v>
      </c>
      <c r="H244" s="271"/>
      <c r="I244" s="271"/>
      <c r="J244" s="289">
        <f t="shared" ref="J244:K244" si="336">J$78 * J214</f>
        <v>0</v>
      </c>
      <c r="K244" s="289">
        <f t="shared" si="336"/>
        <v>0</v>
      </c>
      <c r="L244" s="289">
        <f t="shared" ref="L244:M244" si="337">L$78 * L214</f>
        <v>0</v>
      </c>
      <c r="M244" s="289">
        <f t="shared" si="337"/>
        <v>0</v>
      </c>
      <c r="N244" s="289">
        <f t="shared" ref="N244:P244" si="338">N$78 * N214</f>
        <v>2.9488418259380856E-2</v>
      </c>
      <c r="O244" s="289">
        <f t="shared" si="338"/>
        <v>0</v>
      </c>
      <c r="P244" s="289">
        <f t="shared" si="338"/>
        <v>0</v>
      </c>
      <c r="Q244" s="289">
        <f t="shared" ref="Q244:S244" si="339">Q$78 * Q214</f>
        <v>2.9488418259380856E-2</v>
      </c>
      <c r="R244" s="289">
        <f t="shared" si="339"/>
        <v>0</v>
      </c>
      <c r="S244" s="289">
        <f t="shared" si="339"/>
        <v>0</v>
      </c>
      <c r="T244" s="289">
        <f t="shared" ref="T244:V244" si="340">T$78 * T214</f>
        <v>0</v>
      </c>
      <c r="U244" s="289">
        <f t="shared" si="340"/>
        <v>0</v>
      </c>
      <c r="V244" s="289">
        <f t="shared" si="340"/>
        <v>0</v>
      </c>
      <c r="W244" s="289">
        <f t="shared" ref="W244:X244" si="341">W$78 * W214</f>
        <v>2.6152000030118715E-2</v>
      </c>
      <c r="X244" s="289">
        <f t="shared" si="341"/>
        <v>0</v>
      </c>
      <c r="Y244" s="289">
        <f t="shared" ref="Y244:Z244" si="342">Y$78 * Y214</f>
        <v>2.4865836094211235E-2</v>
      </c>
      <c r="Z244" s="289">
        <f t="shared" si="342"/>
        <v>0</v>
      </c>
      <c r="AA244" s="289">
        <f t="shared" ref="AA244:AB244" si="343">AA$78 * AA214</f>
        <v>2.4437114782242073E-2</v>
      </c>
      <c r="AB244" s="289">
        <f t="shared" si="343"/>
        <v>0</v>
      </c>
      <c r="AC244" s="271"/>
      <c r="AD244" s="271"/>
    </row>
    <row r="245" spans="2:30" x14ac:dyDescent="0.25">
      <c r="D245"/>
      <c r="F245" t="s">
        <v>197</v>
      </c>
      <c r="G245" t="s">
        <v>271</v>
      </c>
      <c r="H245" s="271"/>
      <c r="I245" s="271"/>
      <c r="J245" s="289">
        <f t="shared" ref="J245:K245" si="344">J$78 * J215</f>
        <v>0</v>
      </c>
      <c r="K245" s="289">
        <f t="shared" si="344"/>
        <v>0</v>
      </c>
      <c r="L245" s="289">
        <f t="shared" ref="L245:M245" si="345">L$78 * L215</f>
        <v>0</v>
      </c>
      <c r="M245" s="289">
        <f t="shared" si="345"/>
        <v>0</v>
      </c>
      <c r="N245" s="289">
        <f t="shared" ref="N245:P245" si="346">N$78 * N215</f>
        <v>0</v>
      </c>
      <c r="O245" s="289">
        <f t="shared" si="346"/>
        <v>0</v>
      </c>
      <c r="P245" s="289">
        <f t="shared" si="346"/>
        <v>0</v>
      </c>
      <c r="Q245" s="289">
        <f t="shared" ref="Q245:S245" si="347">Q$78 * Q215</f>
        <v>0</v>
      </c>
      <c r="R245" s="289">
        <f t="shared" si="347"/>
        <v>0</v>
      </c>
      <c r="S245" s="289">
        <f t="shared" si="347"/>
        <v>0</v>
      </c>
      <c r="T245" s="289">
        <f t="shared" ref="T245:V245" si="348">T$78 * T215</f>
        <v>0</v>
      </c>
      <c r="U245" s="289">
        <f t="shared" si="348"/>
        <v>0</v>
      </c>
      <c r="V245" s="289">
        <f t="shared" si="348"/>
        <v>0</v>
      </c>
      <c r="W245" s="289">
        <f t="shared" ref="W245:X245" si="349">W$78 * W215</f>
        <v>6.5727381125758322E-3</v>
      </c>
      <c r="X245" s="289">
        <f t="shared" si="349"/>
        <v>0</v>
      </c>
      <c r="Y245" s="289">
        <f t="shared" ref="Y245:Z245" si="350">Y$78 * Y215</f>
        <v>6.2494886972032518E-3</v>
      </c>
      <c r="Z245" s="289">
        <f t="shared" si="350"/>
        <v>0</v>
      </c>
      <c r="AA245" s="289">
        <f t="shared" ref="AA245:AB245" si="351">AA$78 * AA215</f>
        <v>0</v>
      </c>
      <c r="AB245" s="289">
        <f t="shared" si="351"/>
        <v>0</v>
      </c>
      <c r="AC245" s="271"/>
      <c r="AD245" s="271"/>
    </row>
    <row r="246" spans="2:30" x14ac:dyDescent="0.25">
      <c r="D246"/>
      <c r="F246" t="s">
        <v>198</v>
      </c>
      <c r="G246" t="s">
        <v>271</v>
      </c>
      <c r="H246" s="271"/>
      <c r="I246" s="271"/>
      <c r="J246" s="289">
        <f t="shared" ref="J246:K246" si="352">J$78 * J216</f>
        <v>0</v>
      </c>
      <c r="K246" s="289">
        <f t="shared" si="352"/>
        <v>0</v>
      </c>
      <c r="L246" s="289">
        <f t="shared" ref="L246:M246" si="353">L$78 * L216</f>
        <v>0</v>
      </c>
      <c r="M246" s="289">
        <f t="shared" si="353"/>
        <v>0</v>
      </c>
      <c r="N246" s="289">
        <f t="shared" ref="N246:P246" si="354">N$78 * N216</f>
        <v>0</v>
      </c>
      <c r="O246" s="289">
        <f t="shared" si="354"/>
        <v>0</v>
      </c>
      <c r="P246" s="289">
        <f t="shared" si="354"/>
        <v>0</v>
      </c>
      <c r="Q246" s="289">
        <f t="shared" ref="Q246:S246" si="355">Q$78 * Q216</f>
        <v>0</v>
      </c>
      <c r="R246" s="289">
        <f t="shared" si="355"/>
        <v>0</v>
      </c>
      <c r="S246" s="289">
        <f t="shared" si="355"/>
        <v>0</v>
      </c>
      <c r="T246" s="289">
        <f t="shared" ref="T246:V246" si="356">T$78 * T216</f>
        <v>0</v>
      </c>
      <c r="U246" s="289">
        <f t="shared" si="356"/>
        <v>0</v>
      </c>
      <c r="V246" s="289">
        <f t="shared" si="356"/>
        <v>0</v>
      </c>
      <c r="W246" s="289">
        <f t="shared" ref="W246:X246" si="357">W$78 * W216</f>
        <v>1.1055553308686891E-2</v>
      </c>
      <c r="X246" s="289">
        <f t="shared" si="357"/>
        <v>0</v>
      </c>
      <c r="Y246" s="289">
        <f t="shared" ref="Y246:Z246" si="358">Y$78 * Y216</f>
        <v>0</v>
      </c>
      <c r="Z246" s="289">
        <f t="shared" si="358"/>
        <v>0</v>
      </c>
      <c r="AA246" s="289">
        <f t="shared" ref="AA246:AB246" si="359">AA$78 * AA216</f>
        <v>0</v>
      </c>
      <c r="AB246" s="289">
        <f t="shared" si="359"/>
        <v>0</v>
      </c>
      <c r="AC246" s="271"/>
      <c r="AD246" s="271"/>
    </row>
    <row r="247" spans="2:30" x14ac:dyDescent="0.25">
      <c r="D247"/>
      <c r="F247" t="s">
        <v>375</v>
      </c>
      <c r="G247" t="s">
        <v>271</v>
      </c>
      <c r="H247" s="271"/>
      <c r="I247" s="271"/>
      <c r="J247" s="272"/>
      <c r="K247" s="272"/>
      <c r="L247" s="272"/>
      <c r="M247" s="272"/>
      <c r="N247" s="272"/>
      <c r="O247" s="272"/>
      <c r="P247" s="272"/>
      <c r="Q247" s="272"/>
      <c r="R247" s="272"/>
      <c r="S247" s="272"/>
      <c r="T247" s="272"/>
      <c r="U247" s="272"/>
      <c r="V247" s="272"/>
      <c r="W247" s="272"/>
      <c r="X247" s="272"/>
      <c r="Y247" s="272"/>
      <c r="Z247" s="272"/>
      <c r="AA247" s="272"/>
      <c r="AB247" s="272"/>
      <c r="AC247" s="271"/>
      <c r="AD247" s="271"/>
    </row>
    <row r="248" spans="2:30" x14ac:dyDescent="0.25">
      <c r="D248"/>
      <c r="F248" s="37" t="s">
        <v>376</v>
      </c>
      <c r="G248" s="37" t="s">
        <v>271</v>
      </c>
      <c r="H248" s="275"/>
      <c r="I248" s="275"/>
      <c r="J248" s="276"/>
      <c r="K248" s="276"/>
      <c r="L248" s="276"/>
      <c r="M248" s="276"/>
      <c r="N248" s="276"/>
      <c r="O248" s="276"/>
      <c r="P248" s="276"/>
      <c r="Q248" s="276"/>
      <c r="R248" s="276"/>
      <c r="S248" s="276"/>
      <c r="T248" s="276"/>
      <c r="U248" s="276"/>
      <c r="V248" s="276"/>
      <c r="W248" s="276"/>
      <c r="X248" s="276"/>
      <c r="Y248" s="276"/>
      <c r="Z248" s="276"/>
      <c r="AA248" s="276"/>
      <c r="AB248" s="276"/>
      <c r="AC248" s="271"/>
      <c r="AD248" s="271"/>
    </row>
    <row r="249" spans="2:30" x14ac:dyDescent="0.25">
      <c r="C249" s="88"/>
      <c r="J249" s="89"/>
      <c r="K249" s="89"/>
      <c r="L249" s="89"/>
      <c r="M249" s="89"/>
      <c r="N249" s="89"/>
      <c r="O249" s="89"/>
      <c r="P249" s="89"/>
      <c r="Q249" s="89"/>
      <c r="R249" s="89"/>
      <c r="S249" s="89"/>
      <c r="T249" s="89"/>
      <c r="U249" s="89"/>
      <c r="V249" s="89"/>
      <c r="W249" s="89"/>
      <c r="X249" s="89"/>
      <c r="Y249" s="89"/>
      <c r="Z249" s="89"/>
      <c r="AA249" s="89"/>
      <c r="AB249" s="89"/>
    </row>
    <row r="250" spans="2:30" x14ac:dyDescent="0.25">
      <c r="E250" t="s">
        <v>683</v>
      </c>
      <c r="G250" t="s">
        <v>271</v>
      </c>
      <c r="H250" s="271"/>
      <c r="I250" s="271" t="s">
        <v>153</v>
      </c>
      <c r="J250" s="279">
        <f t="shared" ref="J250:K250" si="360">SUM(J223:J234,J237:J248)</f>
        <v>0</v>
      </c>
      <c r="K250" s="279">
        <f t="shared" si="360"/>
        <v>0</v>
      </c>
      <c r="L250" s="279">
        <f t="shared" ref="L250:M250" si="361">SUM(L223:L234,L237:L248)</f>
        <v>0</v>
      </c>
      <c r="M250" s="279">
        <f t="shared" si="361"/>
        <v>0</v>
      </c>
      <c r="N250" s="279">
        <f t="shared" ref="N250:P250" si="362">SUM(N223:N234,N237:N248)</f>
        <v>0.23544821131127469</v>
      </c>
      <c r="O250" s="279">
        <f t="shared" si="362"/>
        <v>0.13709057031775684</v>
      </c>
      <c r="P250" s="279">
        <f t="shared" si="362"/>
        <v>0.10158869577513742</v>
      </c>
      <c r="Q250" s="279">
        <f t="shared" ref="Q250:S250" si="363">SUM(Q223:Q234,Q237:Q248)</f>
        <v>0.23544821131127469</v>
      </c>
      <c r="R250" s="279">
        <f t="shared" si="363"/>
        <v>0.13709057031775684</v>
      </c>
      <c r="S250" s="279">
        <f t="shared" si="363"/>
        <v>0.10158869577513742</v>
      </c>
      <c r="T250" s="279">
        <f t="shared" ref="T250:V250" si="364">SUM(T223:T234,T237:T248)</f>
        <v>0</v>
      </c>
      <c r="U250" s="279">
        <f t="shared" si="364"/>
        <v>0</v>
      </c>
      <c r="V250" s="279">
        <f t="shared" si="364"/>
        <v>0</v>
      </c>
      <c r="W250" s="279">
        <f t="shared" ref="W250:X250" si="365">SUM(W223:W234,W237:W248)</f>
        <v>0.20319917220642791</v>
      </c>
      <c r="X250" s="279">
        <f t="shared" si="365"/>
        <v>0</v>
      </c>
      <c r="Y250" s="279">
        <f t="shared" ref="Y250:Z250" si="366">SUM(Y223:Y234,Y237:Y248)</f>
        <v>0.1816089264144457</v>
      </c>
      <c r="Z250" s="279">
        <f t="shared" si="366"/>
        <v>0</v>
      </c>
      <c r="AA250" s="279">
        <f t="shared" ref="AA250:AB250" si="367">SUM(AA223:AA234,AA237:AA248)</f>
        <v>0.15574087273376108</v>
      </c>
      <c r="AB250" s="279">
        <f t="shared" si="367"/>
        <v>0</v>
      </c>
      <c r="AC250" s="271"/>
      <c r="AD250" s="271" t="s">
        <v>682</v>
      </c>
    </row>
    <row r="251" spans="2:30" x14ac:dyDescent="0.25">
      <c r="C251" s="88"/>
    </row>
    <row r="252" spans="2:30" x14ac:dyDescent="0.25">
      <c r="B252" s="30" t="s">
        <v>230</v>
      </c>
      <c r="C252" s="30"/>
      <c r="D252" s="30"/>
      <c r="E252" s="30"/>
      <c r="F252" s="30"/>
      <c r="G252" s="30"/>
      <c r="H252" s="30"/>
      <c r="I252" s="30"/>
      <c r="J252" s="30"/>
      <c r="K252" s="30"/>
      <c r="L252" s="30"/>
      <c r="M252" s="30"/>
      <c r="N252" s="30"/>
      <c r="O252" s="30"/>
      <c r="P252" s="30"/>
      <c r="Q252" s="30"/>
      <c r="R252" s="30"/>
      <c r="S252" s="30"/>
      <c r="T252" s="30"/>
      <c r="U252" s="30"/>
      <c r="V252" s="30"/>
      <c r="W252" s="30"/>
      <c r="X252" s="30"/>
      <c r="Y252" s="30"/>
      <c r="Z252" s="30"/>
      <c r="AA252" s="30"/>
      <c r="AB252" s="30"/>
      <c r="AC252" s="30"/>
      <c r="AD252" s="30"/>
    </row>
    <row r="254" spans="2:30" x14ac:dyDescent="0.25">
      <c r="E254" t="s">
        <v>231</v>
      </c>
      <c r="G254" s="6" t="s">
        <v>54</v>
      </c>
      <c r="H254" s="26">
        <f t="array" ref="H254">SUM(IF(ISERROR(H21:AB250), 1))</f>
        <v>0</v>
      </c>
    </row>
    <row r="256" spans="2:30" x14ac:dyDescent="0.25">
      <c r="B256" s="30" t="s">
        <v>105</v>
      </c>
      <c r="C256" s="30"/>
      <c r="D256" s="30"/>
      <c r="E256" s="30"/>
      <c r="F256" s="30"/>
      <c r="G256" s="30"/>
      <c r="H256" s="30"/>
      <c r="I256" s="30"/>
      <c r="J256" s="30"/>
      <c r="K256" s="30"/>
      <c r="L256" s="30"/>
      <c r="M256" s="30"/>
      <c r="N256" s="30"/>
      <c r="O256" s="30"/>
      <c r="P256" s="30"/>
      <c r="Q256" s="30"/>
      <c r="R256" s="30"/>
      <c r="S256" s="30"/>
      <c r="T256" s="30"/>
      <c r="U256" s="30"/>
      <c r="V256" s="30"/>
      <c r="W256" s="30"/>
      <c r="X256" s="30"/>
      <c r="Y256" s="30"/>
      <c r="Z256" s="30"/>
      <c r="AA256" s="30"/>
      <c r="AB256" s="30"/>
      <c r="AC256" s="30"/>
      <c r="AD256" s="30"/>
    </row>
    <row r="279" spans="21:26" x14ac:dyDescent="0.25">
      <c r="U279" s="63"/>
      <c r="V279" s="63"/>
      <c r="W279" s="63"/>
      <c r="X279" s="63"/>
      <c r="Y279" s="63"/>
      <c r="Z279" s="63"/>
    </row>
    <row r="280" spans="21:26" x14ac:dyDescent="0.25">
      <c r="U280" s="63"/>
      <c r="V280" s="63"/>
      <c r="W280" s="63"/>
      <c r="X280" s="63"/>
      <c r="Y280" s="63"/>
      <c r="Z280" s="63"/>
    </row>
    <row r="281" spans="21:26" x14ac:dyDescent="0.25">
      <c r="U281" s="63"/>
      <c r="V281" s="63"/>
      <c r="W281" s="63"/>
      <c r="X281" s="63"/>
      <c r="Y281" s="63"/>
      <c r="Z281" s="63"/>
    </row>
    <row r="282" spans="21:26" x14ac:dyDescent="0.25">
      <c r="U282" s="63"/>
      <c r="V282" s="63"/>
      <c r="W282" s="63"/>
      <c r="X282" s="63"/>
      <c r="Y282" s="63"/>
      <c r="Z282" s="63"/>
    </row>
    <row r="283" spans="21:26" x14ac:dyDescent="0.25">
      <c r="U283" s="63"/>
      <c r="V283" s="63"/>
      <c r="W283" s="63"/>
      <c r="X283" s="63"/>
      <c r="Y283" s="63"/>
      <c r="Z283" s="63"/>
    </row>
    <row r="284" spans="21:26" x14ac:dyDescent="0.25">
      <c r="U284" s="63"/>
      <c r="V284" s="63"/>
      <c r="W284" s="63"/>
      <c r="X284" s="63"/>
      <c r="Y284" s="63"/>
      <c r="Z284" s="63"/>
    </row>
    <row r="285" spans="21:26" x14ac:dyDescent="0.25">
      <c r="U285" s="63"/>
      <c r="V285" s="63"/>
      <c r="W285" s="63"/>
      <c r="X285" s="63"/>
      <c r="Y285" s="63"/>
      <c r="Z285" s="63"/>
    </row>
    <row r="286" spans="21:26" x14ac:dyDescent="0.25">
      <c r="U286" s="63"/>
      <c r="V286" s="63"/>
      <c r="W286" s="63"/>
      <c r="X286" s="63"/>
      <c r="Y286" s="63"/>
      <c r="Z286" s="63"/>
    </row>
    <row r="287" spans="21:26" x14ac:dyDescent="0.25">
      <c r="U287" s="63"/>
      <c r="V287" s="63"/>
      <c r="W287" s="63"/>
      <c r="X287" s="63"/>
      <c r="Y287" s="63"/>
      <c r="Z287" s="63"/>
    </row>
    <row r="288" spans="21:26" x14ac:dyDescent="0.25">
      <c r="U288" s="63"/>
      <c r="V288" s="63"/>
      <c r="W288" s="63"/>
      <c r="X288" s="63"/>
      <c r="Y288" s="63"/>
      <c r="Z288" s="63"/>
    </row>
    <row r="289" spans="21:26" x14ac:dyDescent="0.25">
      <c r="U289" s="63"/>
      <c r="V289" s="63"/>
      <c r="W289" s="63"/>
      <c r="X289" s="63"/>
      <c r="Y289" s="63"/>
      <c r="Z289" s="63"/>
    </row>
    <row r="290" spans="21:26" x14ac:dyDescent="0.25">
      <c r="U290" s="63"/>
      <c r="V290" s="63"/>
      <c r="W290" s="63"/>
      <c r="X290" s="63"/>
      <c r="Y290" s="63"/>
      <c r="Z290" s="63"/>
    </row>
    <row r="291" spans="21:26" x14ac:dyDescent="0.25">
      <c r="U291" s="63"/>
      <c r="V291" s="63"/>
      <c r="W291" s="63"/>
      <c r="X291" s="63"/>
      <c r="Y291" s="63"/>
      <c r="Z291" s="63"/>
    </row>
    <row r="292" spans="21:26" x14ac:dyDescent="0.25">
      <c r="U292" s="63"/>
      <c r="V292" s="63"/>
      <c r="W292" s="63"/>
      <c r="X292" s="63"/>
      <c r="Y292" s="63"/>
      <c r="Z292" s="63"/>
    </row>
  </sheetData>
  <sheetProtection sheet="1" objects="1" formatCells="0" formatColumns="0" formatRows="0" sort="0" autoFilter="0"/>
  <conditionalFormatting sqref="H254">
    <cfRule type="cellIs" dxfId="81" priority="10" operator="greaterThan">
      <formula>0</formula>
    </cfRule>
  </conditionalFormatting>
  <conditionalFormatting sqref="A4:I4 AC4:XFD4">
    <cfRule type="expression" dxfId="80" priority="9">
      <formula>LEFT($A$4,1) &lt;&gt; "0"</formula>
    </cfRule>
  </conditionalFormatting>
  <conditionalFormatting sqref="N4:S4">
    <cfRule type="expression" dxfId="79" priority="8">
      <formula>LEFT($A$4,1) &lt;&gt; "0"</formula>
    </cfRule>
  </conditionalFormatting>
  <conditionalFormatting sqref="L4:M4">
    <cfRule type="expression" dxfId="78" priority="7">
      <formula>LEFT($A$4,1) &lt;&gt; "0"</formula>
    </cfRule>
  </conditionalFormatting>
  <conditionalFormatting sqref="J4:K4">
    <cfRule type="expression" dxfId="77" priority="6">
      <formula>LEFT($A$4,1) &lt;&gt; "0"</formula>
    </cfRule>
  </conditionalFormatting>
  <conditionalFormatting sqref="T4">
    <cfRule type="expression" dxfId="76" priority="5">
      <formula>LEFT($A$4,1) &lt;&gt; "0"</formula>
    </cfRule>
  </conditionalFormatting>
  <conditionalFormatting sqref="U4:V4">
    <cfRule type="expression" dxfId="75" priority="4">
      <formula>LEFT($A$4,1) &lt;&gt; "0"</formula>
    </cfRule>
  </conditionalFormatting>
  <conditionalFormatting sqref="W4:X4">
    <cfRule type="expression" dxfId="74" priority="3">
      <formula>LEFT($A$4,1) &lt;&gt; "0"</formula>
    </cfRule>
  </conditionalFormatting>
  <conditionalFormatting sqref="Y4:Z4">
    <cfRule type="expression" dxfId="73" priority="2">
      <formula>LEFT($A$4,1) &lt;&gt; "0"</formula>
    </cfRule>
  </conditionalFormatting>
  <conditionalFormatting sqref="AA4:AB4">
    <cfRule type="expression" dxfId="72" priority="1">
      <formula>LEFT($A$4,1) &lt;&gt; "0"</formula>
    </cfRule>
  </conditionalFormatting>
  <hyperlinks>
    <hyperlink ref="B5:F5" location="'Model map'!A1" display="Click here to return to model map" xr:uid="{00000000-0004-0000-1400-000000000000}"/>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2">
    <tabColor theme="4" tint="0.59999389629810485"/>
    <pageSetUpPr fitToPage="1"/>
  </sheetPr>
  <dimension ref="A1:LC297"/>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8" width="17" customWidth="1"/>
    <col min="29" max="29" width="2.42578125" customWidth="1"/>
    <col min="30" max="30" width="50.5703125" customWidth="1"/>
    <col min="31" max="31" width="2.42578125" customWidth="1"/>
    <col min="32" max="32" width="24.5703125" hidden="1" customWidth="1"/>
    <col min="33" max="33" width="3.5703125" hidden="1" customWidth="1"/>
    <col min="34" max="34" width="15.42578125" hidden="1" customWidth="1"/>
    <col min="35" max="315" width="24.5703125" hidden="1" customWidth="1"/>
    <col min="316" max="16384" width="8.5703125" hidden="1"/>
  </cols>
  <sheetData>
    <row r="1" spans="1:30" s="1" customFormat="1" x14ac:dyDescent="0.25">
      <c r="A1" s="1" t="str">
        <f ca="1">MID(CELL("filename",A1),FIND("]",CELL("filename",A1))+1,255)</f>
        <v>Capacity charges</v>
      </c>
    </row>
    <row r="2" spans="1:30" s="1" customFormat="1" x14ac:dyDescent="0.25">
      <c r="A2" s="1" t="str">
        <f>Cover!D21&amp;" - "&amp;Cover!D23</f>
        <v>SP Distribution - Two</v>
      </c>
    </row>
    <row r="3" spans="1:30" s="5" customFormat="1" x14ac:dyDescent="0.25">
      <c r="A3" s="5" t="str">
        <f>Cover!D2&amp;" - "&amp;Cover!D8&amp;" v"&amp;Cover!D10&amp;" - "&amp;Cover!D19</f>
        <v>CDCM charging model - Release for charge setting v6 - 2021/22</v>
      </c>
    </row>
    <row r="4" spans="1:30" x14ac:dyDescent="0.25">
      <c r="A4" s="12" t="str">
        <f>H295 &amp; IF(H295 = 1, " issue", " issues") &amp;" identified in checks on this sheet"</f>
        <v>0 issues identified in checks on this sheet</v>
      </c>
      <c r="B4" s="13"/>
      <c r="C4" s="13"/>
      <c r="D4" s="13"/>
      <c r="E4" s="13"/>
      <c r="F4" s="13"/>
      <c r="G4" s="13"/>
      <c r="H4" s="14"/>
      <c r="I4" s="14"/>
      <c r="AD4" s="15"/>
    </row>
    <row r="5" spans="1:30" ht="60" x14ac:dyDescent="0.25">
      <c r="B5" s="59" t="s">
        <v>141</v>
      </c>
      <c r="C5" s="60"/>
      <c r="D5" s="60"/>
      <c r="E5" s="60"/>
      <c r="F5" s="60"/>
      <c r="G5" s="61" t="s">
        <v>142</v>
      </c>
      <c r="H5" s="62" t="s">
        <v>143</v>
      </c>
      <c r="J5" s="62" t="s">
        <v>893</v>
      </c>
      <c r="K5" s="62" t="s">
        <v>895</v>
      </c>
      <c r="L5" s="62" t="s">
        <v>894</v>
      </c>
      <c r="M5" s="62" t="s">
        <v>896</v>
      </c>
      <c r="N5" s="62" t="s">
        <v>902</v>
      </c>
      <c r="O5" s="62" t="s">
        <v>903</v>
      </c>
      <c r="P5" s="62" t="s">
        <v>904</v>
      </c>
      <c r="Q5" s="62" t="s">
        <v>1027</v>
      </c>
      <c r="R5" s="62" t="s">
        <v>1028</v>
      </c>
      <c r="S5" s="62" t="s">
        <v>1029</v>
      </c>
      <c r="T5" s="62" t="s">
        <v>905</v>
      </c>
      <c r="U5" s="62" t="s">
        <v>897</v>
      </c>
      <c r="V5" s="62" t="s">
        <v>898</v>
      </c>
      <c r="W5" s="62" t="s">
        <v>899</v>
      </c>
      <c r="X5" s="62" t="s">
        <v>908</v>
      </c>
      <c r="Y5" s="62" t="s">
        <v>900</v>
      </c>
      <c r="Z5" s="62" t="s">
        <v>907</v>
      </c>
      <c r="AA5" s="62" t="s">
        <v>901</v>
      </c>
      <c r="AB5" s="62" t="s">
        <v>906</v>
      </c>
      <c r="AD5" s="61" t="s">
        <v>144</v>
      </c>
    </row>
    <row r="7" spans="1:30" x14ac:dyDescent="0.25">
      <c r="B7" s="30" t="s">
        <v>9</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row>
    <row r="9" spans="1:30" x14ac:dyDescent="0.25">
      <c r="D9" s="29" t="s">
        <v>684</v>
      </c>
      <c r="E9"/>
    </row>
    <row r="10" spans="1:30" x14ac:dyDescent="0.25">
      <c r="D10" s="29" t="s">
        <v>685</v>
      </c>
      <c r="E10"/>
    </row>
    <row r="11" spans="1:30" x14ac:dyDescent="0.25">
      <c r="D11" s="29" t="s">
        <v>686</v>
      </c>
      <c r="E11"/>
    </row>
    <row r="12" spans="1:30" x14ac:dyDescent="0.25">
      <c r="D12" s="29" t="s">
        <v>687</v>
      </c>
      <c r="E12"/>
    </row>
    <row r="13" spans="1:30" x14ac:dyDescent="0.25">
      <c r="D13" s="29" t="s">
        <v>688</v>
      </c>
      <c r="E13"/>
    </row>
    <row r="14" spans="1:30" x14ac:dyDescent="0.25">
      <c r="D14" s="29" t="s">
        <v>689</v>
      </c>
      <c r="E14"/>
    </row>
    <row r="15" spans="1:30" x14ac:dyDescent="0.25">
      <c r="D15" s="29" t="s">
        <v>690</v>
      </c>
    </row>
    <row r="17" spans="2:30" x14ac:dyDescent="0.25">
      <c r="B17" s="30" t="s">
        <v>691</v>
      </c>
      <c r="C17" s="30"/>
      <c r="D17" s="30"/>
      <c r="E17" s="30"/>
      <c r="F17" s="30"/>
      <c r="G17" s="30"/>
      <c r="H17" s="30"/>
      <c r="I17" s="30"/>
      <c r="J17" s="30"/>
      <c r="K17" s="30"/>
      <c r="L17" s="30"/>
      <c r="M17" s="30"/>
      <c r="N17" s="30"/>
      <c r="O17" s="30"/>
      <c r="P17" s="30"/>
      <c r="Q17" s="30"/>
      <c r="R17" s="30"/>
      <c r="S17" s="30"/>
      <c r="T17" s="30"/>
      <c r="U17" s="30"/>
      <c r="V17" s="30"/>
      <c r="W17" s="30"/>
      <c r="X17" s="30"/>
      <c r="Y17" s="30"/>
      <c r="Z17" s="30"/>
      <c r="AA17" s="30"/>
      <c r="AB17" s="30"/>
      <c r="AC17" s="30"/>
      <c r="AD17" s="30"/>
    </row>
    <row r="18" spans="2:30" x14ac:dyDescent="0.25">
      <c r="D18"/>
      <c r="E18"/>
    </row>
    <row r="19" spans="2:30" x14ac:dyDescent="0.25">
      <c r="C19" s="31" t="str">
        <f ca="1">INDEX('Version control'!$H$34:$H$57,MATCH($A$1,'Version control'!$F$34:$F$57,0),1)&amp;"-A: Inputs to capacity charge calculations"</f>
        <v>Section 113-A: Inputs to capacity charge calculations</v>
      </c>
      <c r="D19" s="31"/>
      <c r="E19" s="31"/>
      <c r="F19" s="31"/>
      <c r="G19" s="31"/>
      <c r="H19" s="31"/>
      <c r="I19" s="31"/>
      <c r="J19" s="31"/>
      <c r="K19" s="31"/>
      <c r="L19" s="31"/>
      <c r="M19" s="31"/>
      <c r="N19" s="31"/>
      <c r="O19" s="31"/>
      <c r="P19" s="31"/>
      <c r="Q19" s="31"/>
      <c r="R19" s="31"/>
      <c r="S19" s="31"/>
      <c r="T19" s="31"/>
      <c r="U19" s="31"/>
      <c r="V19" s="31"/>
      <c r="W19" s="31"/>
      <c r="X19" s="31"/>
      <c r="Y19" s="31"/>
      <c r="Z19" s="31"/>
      <c r="AA19" s="31"/>
      <c r="AB19" s="31"/>
      <c r="AC19" s="31"/>
      <c r="AD19" s="31"/>
    </row>
    <row r="21" spans="2:30" x14ac:dyDescent="0.25">
      <c r="E21" s="32" t="s">
        <v>692</v>
      </c>
      <c r="F21" s="2"/>
    </row>
    <row r="22" spans="2:30" x14ac:dyDescent="0.25">
      <c r="D22"/>
      <c r="E22" s="29" t="s">
        <v>693</v>
      </c>
      <c r="F22" s="2"/>
    </row>
    <row r="23" spans="2:30" x14ac:dyDescent="0.25">
      <c r="C23" s="88"/>
      <c r="F23" s="108" t="s">
        <v>188</v>
      </c>
      <c r="G23" s="108" t="s">
        <v>166</v>
      </c>
      <c r="H23" s="207">
        <f>'System peak demand'!H226</f>
        <v>0.1160000000000001</v>
      </c>
    </row>
    <row r="24" spans="2:30" x14ac:dyDescent="0.25">
      <c r="C24" s="88"/>
      <c r="F24" t="s">
        <v>190</v>
      </c>
      <c r="G24" t="s">
        <v>166</v>
      </c>
      <c r="H24" s="25">
        <f>'System peak demand'!H226</f>
        <v>0.1160000000000001</v>
      </c>
    </row>
    <row r="25" spans="2:30" x14ac:dyDescent="0.25">
      <c r="C25" s="88"/>
      <c r="F25" t="s">
        <v>191</v>
      </c>
      <c r="G25" t="s">
        <v>166</v>
      </c>
      <c r="H25" s="25">
        <f>'System peak demand'!H227</f>
        <v>0.1160000000000001</v>
      </c>
    </row>
    <row r="26" spans="2:30" x14ac:dyDescent="0.25">
      <c r="C26" s="88"/>
      <c r="F26" t="s">
        <v>192</v>
      </c>
      <c r="G26" t="s">
        <v>166</v>
      </c>
      <c r="H26" s="25">
        <f>'System peak demand'!H228</f>
        <v>0.1160000000000001</v>
      </c>
    </row>
    <row r="27" spans="2:30" x14ac:dyDescent="0.25">
      <c r="C27" s="88"/>
      <c r="F27" t="s">
        <v>193</v>
      </c>
      <c r="G27" t="s">
        <v>166</v>
      </c>
      <c r="H27" s="25">
        <f>'System peak demand'!H229</f>
        <v>0.26107999999999998</v>
      </c>
    </row>
    <row r="28" spans="2:30" x14ac:dyDescent="0.25">
      <c r="C28" s="88"/>
      <c r="F28" t="s">
        <v>194</v>
      </c>
      <c r="G28" t="s">
        <v>166</v>
      </c>
      <c r="H28" s="25">
        <f>'System peak demand'!H230</f>
        <v>0.26107999999999998</v>
      </c>
    </row>
    <row r="29" spans="2:30" x14ac:dyDescent="0.25">
      <c r="C29" s="88"/>
      <c r="F29" t="s">
        <v>195</v>
      </c>
      <c r="G29" t="s">
        <v>166</v>
      </c>
      <c r="H29" s="25">
        <f>'System peak demand'!H231</f>
        <v>0.1160000000000001</v>
      </c>
    </row>
    <row r="30" spans="2:30" x14ac:dyDescent="0.25">
      <c r="C30" s="88"/>
      <c r="F30" t="s">
        <v>196</v>
      </c>
      <c r="G30" t="s">
        <v>166</v>
      </c>
      <c r="H30" s="25">
        <f>'System peak demand'!H232</f>
        <v>0.57634999999999992</v>
      </c>
    </row>
    <row r="31" spans="2:30" x14ac:dyDescent="0.25">
      <c r="C31" s="88"/>
      <c r="F31" t="s">
        <v>197</v>
      </c>
      <c r="G31" t="s">
        <v>166</v>
      </c>
      <c r="H31" s="25">
        <f>'System peak demand'!H233</f>
        <v>0.57634999999999992</v>
      </c>
    </row>
    <row r="32" spans="2:30" x14ac:dyDescent="0.25">
      <c r="C32" s="88"/>
      <c r="F32" t="s">
        <v>198</v>
      </c>
      <c r="G32" t="s">
        <v>166</v>
      </c>
      <c r="H32" s="25">
        <f>'System peak demand'!H234</f>
        <v>0.65261219022840544</v>
      </c>
    </row>
    <row r="33" spans="3:8" x14ac:dyDescent="0.25">
      <c r="C33" s="88"/>
      <c r="F33" t="s">
        <v>375</v>
      </c>
      <c r="G33" t="s">
        <v>166</v>
      </c>
      <c r="H33" s="66"/>
    </row>
    <row r="34" spans="3:8" x14ac:dyDescent="0.25">
      <c r="C34" s="88"/>
      <c r="F34" s="37" t="s">
        <v>376</v>
      </c>
      <c r="G34" s="37" t="s">
        <v>166</v>
      </c>
      <c r="H34" s="68"/>
    </row>
    <row r="35" spans="3:8" x14ac:dyDescent="0.25">
      <c r="C35" s="88"/>
      <c r="F35" s="2"/>
    </row>
    <row r="36" spans="3:8" x14ac:dyDescent="0.25">
      <c r="E36" s="88" t="s">
        <v>393</v>
      </c>
      <c r="F36" s="2"/>
    </row>
    <row r="37" spans="3:8" x14ac:dyDescent="0.25">
      <c r="C37" s="88"/>
      <c r="F37" s="23" t="s">
        <v>188</v>
      </c>
      <c r="G37" s="64" t="s">
        <v>282</v>
      </c>
      <c r="H37" s="124">
        <f t="array" ref="H37:H46">TRANSPOSE('Load &amp; loss characteristics'!J29:S29)</f>
        <v>1</v>
      </c>
    </row>
    <row r="38" spans="3:8" x14ac:dyDescent="0.25">
      <c r="C38" s="88"/>
      <c r="F38" t="s">
        <v>190</v>
      </c>
      <c r="G38" s="28" t="s">
        <v>282</v>
      </c>
      <c r="H38" s="120">
        <v>1</v>
      </c>
    </row>
    <row r="39" spans="3:8" x14ac:dyDescent="0.25">
      <c r="C39" s="88"/>
      <c r="F39" t="s">
        <v>191</v>
      </c>
      <c r="G39" s="28" t="s">
        <v>282</v>
      </c>
      <c r="H39" s="120">
        <v>1</v>
      </c>
    </row>
    <row r="40" spans="3:8" x14ac:dyDescent="0.25">
      <c r="C40" s="88"/>
      <c r="F40" t="s">
        <v>192</v>
      </c>
      <c r="G40" s="28" t="s">
        <v>282</v>
      </c>
      <c r="H40" s="120">
        <v>1</v>
      </c>
    </row>
    <row r="41" spans="3:8" x14ac:dyDescent="0.25">
      <c r="C41" s="88"/>
      <c r="F41" t="s">
        <v>193</v>
      </c>
      <c r="G41" s="28" t="s">
        <v>282</v>
      </c>
      <c r="H41" s="120">
        <v>1.004</v>
      </c>
    </row>
    <row r="42" spans="3:8" x14ac:dyDescent="0.25">
      <c r="C42" s="88"/>
      <c r="F42" t="s">
        <v>194</v>
      </c>
      <c r="G42" s="28" t="s">
        <v>282</v>
      </c>
      <c r="H42" s="120">
        <v>1.0129999999999999</v>
      </c>
    </row>
    <row r="43" spans="3:8" x14ac:dyDescent="0.25">
      <c r="C43" s="88"/>
      <c r="F43" t="s">
        <v>195</v>
      </c>
      <c r="G43" s="28" t="s">
        <v>282</v>
      </c>
      <c r="H43" s="120">
        <v>1.0129999999999999</v>
      </c>
    </row>
    <row r="44" spans="3:8" x14ac:dyDescent="0.25">
      <c r="C44" s="88"/>
      <c r="F44" t="s">
        <v>196</v>
      </c>
      <c r="G44" s="28" t="s">
        <v>282</v>
      </c>
      <c r="H44" s="120">
        <v>1.026</v>
      </c>
    </row>
    <row r="45" spans="3:8" x14ac:dyDescent="0.25">
      <c r="C45" s="88"/>
      <c r="F45" t="s">
        <v>197</v>
      </c>
      <c r="G45" s="28" t="s">
        <v>282</v>
      </c>
      <c r="H45" s="120">
        <v>1.044</v>
      </c>
    </row>
    <row r="46" spans="3:8" x14ac:dyDescent="0.25">
      <c r="C46" s="88"/>
      <c r="F46" t="s">
        <v>198</v>
      </c>
      <c r="G46" s="28" t="s">
        <v>282</v>
      </c>
      <c r="H46" s="120">
        <v>1.0980000000000001</v>
      </c>
    </row>
    <row r="47" spans="3:8" x14ac:dyDescent="0.25">
      <c r="C47" s="88"/>
      <c r="F47" t="s">
        <v>375</v>
      </c>
      <c r="G47" s="28" t="s">
        <v>282</v>
      </c>
      <c r="H47" s="79"/>
    </row>
    <row r="48" spans="3:8" x14ac:dyDescent="0.25">
      <c r="C48" s="88"/>
      <c r="F48" s="37" t="s">
        <v>376</v>
      </c>
      <c r="G48" s="67" t="s">
        <v>282</v>
      </c>
      <c r="H48" s="81"/>
    </row>
    <row r="49" spans="3:8" x14ac:dyDescent="0.25">
      <c r="C49" s="88"/>
      <c r="F49" s="2"/>
      <c r="H49" s="89"/>
    </row>
    <row r="50" spans="3:8" x14ac:dyDescent="0.25">
      <c r="C50" s="88"/>
      <c r="E50" s="88" t="s">
        <v>583</v>
      </c>
      <c r="H50" s="89"/>
    </row>
    <row r="51" spans="3:8" x14ac:dyDescent="0.25">
      <c r="C51" s="88"/>
      <c r="E51" s="29"/>
      <c r="F51" s="23" t="s">
        <v>188</v>
      </c>
      <c r="G51" s="23" t="s">
        <v>584</v>
      </c>
      <c r="H51" s="83"/>
    </row>
    <row r="52" spans="3:8" x14ac:dyDescent="0.25">
      <c r="C52" s="88"/>
      <c r="E52" s="29"/>
      <c r="F52" t="s">
        <v>190</v>
      </c>
      <c r="G52" t="s">
        <v>584</v>
      </c>
      <c r="H52" s="79"/>
    </row>
    <row r="53" spans="3:8" x14ac:dyDescent="0.25">
      <c r="C53" s="88"/>
      <c r="E53" s="29"/>
      <c r="F53" t="s">
        <v>191</v>
      </c>
      <c r="G53" t="s">
        <v>584</v>
      </c>
      <c r="H53" s="120">
        <f t="array" ref="H53:H60">TRANSPOSE('Unit costs'!L114:S114)</f>
        <v>0</v>
      </c>
    </row>
    <row r="54" spans="3:8" x14ac:dyDescent="0.25">
      <c r="C54" s="88"/>
      <c r="E54" s="29"/>
      <c r="F54" t="s">
        <v>192</v>
      </c>
      <c r="G54" t="s">
        <v>584</v>
      </c>
      <c r="H54" s="120">
        <v>0</v>
      </c>
    </row>
    <row r="55" spans="3:8" x14ac:dyDescent="0.25">
      <c r="C55" s="88"/>
      <c r="E55" s="29"/>
      <c r="F55" t="s">
        <v>193</v>
      </c>
      <c r="G55" t="s">
        <v>584</v>
      </c>
      <c r="H55" s="120">
        <v>12.478071335403621</v>
      </c>
    </row>
    <row r="56" spans="3:8" x14ac:dyDescent="0.25">
      <c r="C56" s="88"/>
      <c r="E56" s="29"/>
      <c r="F56" t="s">
        <v>194</v>
      </c>
      <c r="G56" t="s">
        <v>584</v>
      </c>
      <c r="H56" s="120">
        <v>3.2261046387145558</v>
      </c>
    </row>
    <row r="57" spans="3:8" x14ac:dyDescent="0.25">
      <c r="C57" s="88"/>
      <c r="E57" s="29"/>
      <c r="F57" t="s">
        <v>195</v>
      </c>
      <c r="G57" t="s">
        <v>584</v>
      </c>
      <c r="H57" s="120">
        <v>0</v>
      </c>
    </row>
    <row r="58" spans="3:8" x14ac:dyDescent="0.25">
      <c r="C58" s="88"/>
      <c r="E58" s="29"/>
      <c r="F58" t="s">
        <v>196</v>
      </c>
      <c r="G58" t="s">
        <v>584</v>
      </c>
      <c r="H58" s="120">
        <v>14.056901421102715</v>
      </c>
    </row>
    <row r="59" spans="3:8" x14ac:dyDescent="0.25">
      <c r="C59" s="88"/>
      <c r="E59" s="29"/>
      <c r="F59" t="s">
        <v>197</v>
      </c>
      <c r="G59" t="s">
        <v>584</v>
      </c>
      <c r="H59" s="120">
        <v>3.5948780096052633</v>
      </c>
    </row>
    <row r="60" spans="3:8" x14ac:dyDescent="0.25">
      <c r="C60" s="88"/>
      <c r="E60" s="29"/>
      <c r="F60" t="s">
        <v>198</v>
      </c>
      <c r="G60" t="s">
        <v>584</v>
      </c>
      <c r="H60" s="120">
        <v>6.359458733192529</v>
      </c>
    </row>
    <row r="61" spans="3:8" x14ac:dyDescent="0.25">
      <c r="C61" s="88"/>
      <c r="E61" s="29"/>
      <c r="F61" t="s">
        <v>375</v>
      </c>
      <c r="G61" t="s">
        <v>584</v>
      </c>
      <c r="H61" s="79"/>
    </row>
    <row r="62" spans="3:8" x14ac:dyDescent="0.25">
      <c r="C62" s="88"/>
      <c r="E62" s="29"/>
      <c r="F62" s="37" t="s">
        <v>376</v>
      </c>
      <c r="G62" s="37" t="s">
        <v>584</v>
      </c>
      <c r="H62" s="81"/>
    </row>
    <row r="63" spans="3:8" x14ac:dyDescent="0.25">
      <c r="C63" s="88"/>
      <c r="D63"/>
      <c r="E63" s="29"/>
      <c r="H63" s="89"/>
    </row>
    <row r="64" spans="3:8" x14ac:dyDescent="0.25">
      <c r="C64" s="88"/>
      <c r="E64" s="88" t="s">
        <v>602</v>
      </c>
      <c r="H64" s="89"/>
    </row>
    <row r="65" spans="3:28" x14ac:dyDescent="0.25">
      <c r="C65" s="88"/>
      <c r="F65" s="23" t="s">
        <v>188</v>
      </c>
      <c r="G65" s="23" t="s">
        <v>584</v>
      </c>
      <c r="H65" s="124">
        <f t="array" ref="H65:H74">TRANSPOSE('Unit costs'!J115:S115)</f>
        <v>12.977309793602421</v>
      </c>
    </row>
    <row r="66" spans="3:28" x14ac:dyDescent="0.25">
      <c r="C66" s="88"/>
      <c r="F66" t="s">
        <v>190</v>
      </c>
      <c r="G66" t="s">
        <v>584</v>
      </c>
      <c r="H66" s="120">
        <v>0</v>
      </c>
    </row>
    <row r="67" spans="3:28" x14ac:dyDescent="0.25">
      <c r="C67" s="88"/>
      <c r="F67" t="s">
        <v>191</v>
      </c>
      <c r="G67" t="s">
        <v>584</v>
      </c>
      <c r="H67" s="120">
        <v>0</v>
      </c>
    </row>
    <row r="68" spans="3:28" x14ac:dyDescent="0.25">
      <c r="C68" s="88"/>
      <c r="F68" t="s">
        <v>192</v>
      </c>
      <c r="G68" t="s">
        <v>584</v>
      </c>
      <c r="H68" s="120">
        <v>0</v>
      </c>
    </row>
    <row r="69" spans="3:28" x14ac:dyDescent="0.25">
      <c r="C69" s="88"/>
      <c r="F69" t="s">
        <v>193</v>
      </c>
      <c r="G69" t="s">
        <v>584</v>
      </c>
      <c r="H69" s="120">
        <v>9.2218360722467949</v>
      </c>
    </row>
    <row r="70" spans="3:28" x14ac:dyDescent="0.25">
      <c r="C70" s="88"/>
      <c r="F70" t="s">
        <v>194</v>
      </c>
      <c r="G70" t="s">
        <v>584</v>
      </c>
      <c r="H70" s="120">
        <v>2.3842312910754226</v>
      </c>
    </row>
    <row r="71" spans="3:28" x14ac:dyDescent="0.25">
      <c r="C71" s="88"/>
      <c r="F71" t="s">
        <v>195</v>
      </c>
      <c r="G71" t="s">
        <v>584</v>
      </c>
      <c r="H71" s="120">
        <v>0</v>
      </c>
    </row>
    <row r="72" spans="3:28" x14ac:dyDescent="0.25">
      <c r="C72" s="88"/>
      <c r="F72" t="s">
        <v>196</v>
      </c>
      <c r="G72" t="s">
        <v>584</v>
      </c>
      <c r="H72" s="120">
        <v>10.388660002395246</v>
      </c>
    </row>
    <row r="73" spans="3:28" x14ac:dyDescent="0.25">
      <c r="C73" s="88"/>
      <c r="F73" t="s">
        <v>197</v>
      </c>
      <c r="G73" t="s">
        <v>584</v>
      </c>
      <c r="H73" s="120">
        <v>2.6567708112266732</v>
      </c>
    </row>
    <row r="74" spans="3:28" x14ac:dyDescent="0.25">
      <c r="C74" s="88"/>
      <c r="F74" t="s">
        <v>198</v>
      </c>
      <c r="G74" t="s">
        <v>584</v>
      </c>
      <c r="H74" s="120">
        <v>4.6999159060203253</v>
      </c>
    </row>
    <row r="75" spans="3:28" x14ac:dyDescent="0.25">
      <c r="C75" s="88"/>
      <c r="F75" t="s">
        <v>375</v>
      </c>
      <c r="G75" t="s">
        <v>584</v>
      </c>
      <c r="H75" s="79"/>
    </row>
    <row r="76" spans="3:28" x14ac:dyDescent="0.25">
      <c r="C76" s="88"/>
      <c r="F76" s="37" t="s">
        <v>376</v>
      </c>
      <c r="G76" s="37" t="s">
        <v>584</v>
      </c>
      <c r="H76" s="81"/>
    </row>
    <row r="77" spans="3:28" x14ac:dyDescent="0.25">
      <c r="C77" s="88"/>
      <c r="F77" s="2"/>
    </row>
    <row r="78" spans="3:28" x14ac:dyDescent="0.25">
      <c r="E78" s="32" t="s">
        <v>407</v>
      </c>
      <c r="F78" s="2"/>
    </row>
    <row r="79" spans="3:28" x14ac:dyDescent="0.25">
      <c r="E79" s="29" t="s">
        <v>400</v>
      </c>
    </row>
    <row r="80" spans="3:28" x14ac:dyDescent="0.25">
      <c r="C80" s="88"/>
      <c r="F80" s="23" t="s">
        <v>188</v>
      </c>
      <c r="G80" s="64" t="s">
        <v>282</v>
      </c>
      <c r="H80" s="208"/>
      <c r="I80" s="208"/>
      <c r="J80" s="124">
        <f t="array" ref="J80:AB89">TRANSPOSE('Load &amp; loss characteristics'!J160:S178)</f>
        <v>1.0980000000000001</v>
      </c>
      <c r="K80" s="124">
        <v>1.0980000000000001</v>
      </c>
      <c r="L80" s="124">
        <v>1.0980000000000001</v>
      </c>
      <c r="M80" s="124">
        <v>1.0980000000000001</v>
      </c>
      <c r="N80" s="124">
        <v>1.0980000000000001</v>
      </c>
      <c r="O80" s="124">
        <v>1.044</v>
      </c>
      <c r="P80" s="124">
        <v>1.026</v>
      </c>
      <c r="Q80" s="124">
        <v>1.0980000000000001</v>
      </c>
      <c r="R80" s="124">
        <v>1.044</v>
      </c>
      <c r="S80" s="124">
        <v>1.026</v>
      </c>
      <c r="T80" s="124">
        <v>1.0980000000000001</v>
      </c>
      <c r="U80" s="124">
        <v>-1.0980000000000001</v>
      </c>
      <c r="V80" s="124">
        <v>-1.044</v>
      </c>
      <c r="W80" s="124">
        <v>-1.0980000000000001</v>
      </c>
      <c r="X80" s="124">
        <v>-1.0980000000000001</v>
      </c>
      <c r="Y80" s="124">
        <v>-1.044</v>
      </c>
      <c r="Z80" s="124">
        <v>-1.044</v>
      </c>
      <c r="AA80" s="124">
        <v>-1.026</v>
      </c>
      <c r="AB80" s="124">
        <v>-1.026</v>
      </c>
    </row>
    <row r="81" spans="3:45" x14ac:dyDescent="0.25">
      <c r="C81" s="88"/>
      <c r="F81" t="s">
        <v>190</v>
      </c>
      <c r="G81" s="28" t="s">
        <v>282</v>
      </c>
      <c r="H81" s="209"/>
      <c r="I81" s="209"/>
      <c r="J81" s="120">
        <v>1.0980000000000001</v>
      </c>
      <c r="K81" s="120">
        <v>1.0980000000000001</v>
      </c>
      <c r="L81" s="120">
        <v>1.0980000000000001</v>
      </c>
      <c r="M81" s="120">
        <v>1.0980000000000001</v>
      </c>
      <c r="N81" s="120">
        <v>1.0980000000000001</v>
      </c>
      <c r="O81" s="120">
        <v>1.044</v>
      </c>
      <c r="P81" s="120">
        <v>1.026</v>
      </c>
      <c r="Q81" s="120">
        <v>1.0980000000000001</v>
      </c>
      <c r="R81" s="120">
        <v>1.044</v>
      </c>
      <c r="S81" s="120">
        <v>1.026</v>
      </c>
      <c r="T81" s="120">
        <v>1.0980000000000001</v>
      </c>
      <c r="U81" s="120">
        <v>-1.0980000000000001</v>
      </c>
      <c r="V81" s="120">
        <v>-1.044</v>
      </c>
      <c r="W81" s="120">
        <v>-1.0980000000000001</v>
      </c>
      <c r="X81" s="120">
        <v>-1.0980000000000001</v>
      </c>
      <c r="Y81" s="120">
        <v>-1.044</v>
      </c>
      <c r="Z81" s="120">
        <v>-1.044</v>
      </c>
      <c r="AA81" s="120">
        <v>-1.026</v>
      </c>
      <c r="AB81" s="120">
        <v>-1.026</v>
      </c>
    </row>
    <row r="82" spans="3:45" x14ac:dyDescent="0.25">
      <c r="C82" s="88"/>
      <c r="F82" t="s">
        <v>191</v>
      </c>
      <c r="G82" s="28" t="s">
        <v>282</v>
      </c>
      <c r="H82" s="209"/>
      <c r="I82" s="209"/>
      <c r="J82" s="120">
        <v>1.0980000000000001</v>
      </c>
      <c r="K82" s="120">
        <v>1.0980000000000001</v>
      </c>
      <c r="L82" s="120">
        <v>1.0980000000000001</v>
      </c>
      <c r="M82" s="120">
        <v>1.0980000000000001</v>
      </c>
      <c r="N82" s="120">
        <v>1.0980000000000001</v>
      </c>
      <c r="O82" s="120">
        <v>1.044</v>
      </c>
      <c r="P82" s="120">
        <v>1.026</v>
      </c>
      <c r="Q82" s="120">
        <v>1.0980000000000001</v>
      </c>
      <c r="R82" s="120">
        <v>1.044</v>
      </c>
      <c r="S82" s="120">
        <v>1.026</v>
      </c>
      <c r="T82" s="120">
        <v>1.0980000000000001</v>
      </c>
      <c r="U82" s="120">
        <v>-1.0980000000000001</v>
      </c>
      <c r="V82" s="120">
        <v>-1.044</v>
      </c>
      <c r="W82" s="120">
        <v>-1.0980000000000001</v>
      </c>
      <c r="X82" s="120">
        <v>-1.0980000000000001</v>
      </c>
      <c r="Y82" s="120">
        <v>-1.044</v>
      </c>
      <c r="Z82" s="120">
        <v>-1.044</v>
      </c>
      <c r="AA82" s="120">
        <v>-1.026</v>
      </c>
      <c r="AB82" s="120">
        <v>-1.026</v>
      </c>
    </row>
    <row r="83" spans="3:45" x14ac:dyDescent="0.25">
      <c r="C83" s="88"/>
      <c r="F83" t="s">
        <v>192</v>
      </c>
      <c r="G83" s="28" t="s">
        <v>282</v>
      </c>
      <c r="H83" s="209"/>
      <c r="I83" s="209"/>
      <c r="J83" s="120">
        <v>1.0980000000000001</v>
      </c>
      <c r="K83" s="120">
        <v>1.0980000000000001</v>
      </c>
      <c r="L83" s="120">
        <v>1.0980000000000001</v>
      </c>
      <c r="M83" s="120">
        <v>1.0980000000000001</v>
      </c>
      <c r="N83" s="120">
        <v>1.0980000000000001</v>
      </c>
      <c r="O83" s="120">
        <v>1.044</v>
      </c>
      <c r="P83" s="120">
        <v>1.026</v>
      </c>
      <c r="Q83" s="120">
        <v>1.0980000000000001</v>
      </c>
      <c r="R83" s="120">
        <v>1.044</v>
      </c>
      <c r="S83" s="120">
        <v>1.026</v>
      </c>
      <c r="T83" s="120">
        <v>1.0980000000000001</v>
      </c>
      <c r="U83" s="120">
        <v>-1.0980000000000001</v>
      </c>
      <c r="V83" s="120">
        <v>-1.044</v>
      </c>
      <c r="W83" s="120">
        <v>-1.0980000000000001</v>
      </c>
      <c r="X83" s="120">
        <v>-1.0980000000000001</v>
      </c>
      <c r="Y83" s="120">
        <v>-1.044</v>
      </c>
      <c r="Z83" s="120">
        <v>-1.044</v>
      </c>
      <c r="AA83" s="120">
        <v>-1.026</v>
      </c>
      <c r="AB83" s="120">
        <v>-1.026</v>
      </c>
    </row>
    <row r="84" spans="3:45" x14ac:dyDescent="0.25">
      <c r="C84" s="88"/>
      <c r="F84" t="s">
        <v>193</v>
      </c>
      <c r="G84" s="28" t="s">
        <v>282</v>
      </c>
      <c r="H84" s="209"/>
      <c r="I84" s="209"/>
      <c r="J84" s="120">
        <v>1.0980000000000001</v>
      </c>
      <c r="K84" s="120">
        <v>1.0980000000000001</v>
      </c>
      <c r="L84" s="120">
        <v>1.0980000000000001</v>
      </c>
      <c r="M84" s="120">
        <v>1.0980000000000001</v>
      </c>
      <c r="N84" s="120">
        <v>1.0980000000000001</v>
      </c>
      <c r="O84" s="120">
        <v>1.044</v>
      </c>
      <c r="P84" s="120">
        <v>1.026</v>
      </c>
      <c r="Q84" s="120">
        <v>1.0980000000000001</v>
      </c>
      <c r="R84" s="120">
        <v>1.044</v>
      </c>
      <c r="S84" s="120">
        <v>1.026</v>
      </c>
      <c r="T84" s="120">
        <v>1.0980000000000001</v>
      </c>
      <c r="U84" s="120">
        <v>-1.0980000000000001</v>
      </c>
      <c r="V84" s="120">
        <v>-1.044</v>
      </c>
      <c r="W84" s="120">
        <v>-1.0980000000000001</v>
      </c>
      <c r="X84" s="120">
        <v>-1.0980000000000001</v>
      </c>
      <c r="Y84" s="120">
        <v>-1.044</v>
      </c>
      <c r="Z84" s="120">
        <v>-1.044</v>
      </c>
      <c r="AA84" s="120">
        <v>-1.026</v>
      </c>
      <c r="AB84" s="120">
        <v>-1.026</v>
      </c>
    </row>
    <row r="85" spans="3:45" x14ac:dyDescent="0.25">
      <c r="C85" s="88"/>
      <c r="F85" t="s">
        <v>194</v>
      </c>
      <c r="G85" s="28" t="s">
        <v>282</v>
      </c>
      <c r="H85" s="209"/>
      <c r="I85" s="209"/>
      <c r="J85" s="120">
        <v>1.0980000000000001</v>
      </c>
      <c r="K85" s="120">
        <v>1.0980000000000001</v>
      </c>
      <c r="L85" s="120">
        <v>1.0980000000000001</v>
      </c>
      <c r="M85" s="120">
        <v>1.0980000000000001</v>
      </c>
      <c r="N85" s="120">
        <v>1.0980000000000001</v>
      </c>
      <c r="O85" s="120">
        <v>1.044</v>
      </c>
      <c r="P85" s="120">
        <v>1.026</v>
      </c>
      <c r="Q85" s="120">
        <v>1.0980000000000001</v>
      </c>
      <c r="R85" s="120">
        <v>1.044</v>
      </c>
      <c r="S85" s="120">
        <v>1.026</v>
      </c>
      <c r="T85" s="120">
        <v>1.0980000000000001</v>
      </c>
      <c r="U85" s="120">
        <v>-1.0980000000000001</v>
      </c>
      <c r="V85" s="120">
        <v>-1.044</v>
      </c>
      <c r="W85" s="120">
        <v>-1.0980000000000001</v>
      </c>
      <c r="X85" s="120">
        <v>-1.0980000000000001</v>
      </c>
      <c r="Y85" s="120">
        <v>-1.044</v>
      </c>
      <c r="Z85" s="120">
        <v>-1.044</v>
      </c>
      <c r="AA85" s="120">
        <v>-1.026</v>
      </c>
      <c r="AB85" s="120">
        <v>-1.026</v>
      </c>
    </row>
    <row r="86" spans="3:45" x14ac:dyDescent="0.25">
      <c r="C86" s="88"/>
      <c r="F86" t="s">
        <v>195</v>
      </c>
      <c r="G86" s="28" t="s">
        <v>282</v>
      </c>
      <c r="H86" s="209"/>
      <c r="I86" s="209"/>
      <c r="J86" s="120">
        <v>0</v>
      </c>
      <c r="K86" s="120">
        <v>0</v>
      </c>
      <c r="L86" s="120">
        <v>0</v>
      </c>
      <c r="M86" s="120">
        <v>0</v>
      </c>
      <c r="N86" s="120">
        <v>0</v>
      </c>
      <c r="O86" s="120">
        <v>0</v>
      </c>
      <c r="P86" s="120">
        <v>0</v>
      </c>
      <c r="Q86" s="120">
        <v>0</v>
      </c>
      <c r="R86" s="120">
        <v>0</v>
      </c>
      <c r="S86" s="120">
        <v>0</v>
      </c>
      <c r="T86" s="120">
        <v>0</v>
      </c>
      <c r="U86" s="120">
        <v>0</v>
      </c>
      <c r="V86" s="120">
        <v>0</v>
      </c>
      <c r="W86" s="120">
        <v>0</v>
      </c>
      <c r="X86" s="120">
        <v>0</v>
      </c>
      <c r="Y86" s="120">
        <v>0</v>
      </c>
      <c r="Z86" s="120">
        <v>0</v>
      </c>
      <c r="AA86" s="120">
        <v>0</v>
      </c>
      <c r="AB86" s="120">
        <v>0</v>
      </c>
    </row>
    <row r="87" spans="3:45" x14ac:dyDescent="0.25">
      <c r="C87" s="88"/>
      <c r="F87" t="s">
        <v>196</v>
      </c>
      <c r="G87" s="28" t="s">
        <v>282</v>
      </c>
      <c r="H87" s="209"/>
      <c r="I87" s="209"/>
      <c r="J87" s="120">
        <v>1.0980000000000001</v>
      </c>
      <c r="K87" s="120">
        <v>1.0980000000000001</v>
      </c>
      <c r="L87" s="120">
        <v>1.0980000000000001</v>
      </c>
      <c r="M87" s="120">
        <v>1.0980000000000001</v>
      </c>
      <c r="N87" s="120">
        <v>1.0980000000000001</v>
      </c>
      <c r="O87" s="120">
        <v>1.044</v>
      </c>
      <c r="P87" s="120">
        <v>1.026</v>
      </c>
      <c r="Q87" s="120">
        <v>1.0980000000000001</v>
      </c>
      <c r="R87" s="120">
        <v>1.044</v>
      </c>
      <c r="S87" s="120">
        <v>1.026</v>
      </c>
      <c r="T87" s="120">
        <v>1.0980000000000001</v>
      </c>
      <c r="U87" s="120">
        <v>-1.0980000000000001</v>
      </c>
      <c r="V87" s="120">
        <v>-1.044</v>
      </c>
      <c r="W87" s="120">
        <v>-1.0980000000000001</v>
      </c>
      <c r="X87" s="120">
        <v>-1.0980000000000001</v>
      </c>
      <c r="Y87" s="120">
        <v>-1.044</v>
      </c>
      <c r="Z87" s="120">
        <v>-1.044</v>
      </c>
      <c r="AA87" s="120">
        <v>0</v>
      </c>
      <c r="AB87" s="120">
        <v>0</v>
      </c>
    </row>
    <row r="88" spans="3:45" x14ac:dyDescent="0.25">
      <c r="C88" s="88"/>
      <c r="F88" t="s">
        <v>197</v>
      </c>
      <c r="G88" s="28" t="s">
        <v>282</v>
      </c>
      <c r="H88" s="209"/>
      <c r="I88" s="209"/>
      <c r="J88" s="120">
        <v>1.0980000000000001</v>
      </c>
      <c r="K88" s="120">
        <v>1.0980000000000001</v>
      </c>
      <c r="L88" s="120">
        <v>1.0980000000000001</v>
      </c>
      <c r="M88" s="120">
        <v>1.0980000000000001</v>
      </c>
      <c r="N88" s="120">
        <v>1.0980000000000001</v>
      </c>
      <c r="O88" s="120">
        <v>1.044</v>
      </c>
      <c r="P88" s="120">
        <v>0</v>
      </c>
      <c r="Q88" s="120">
        <v>1.0980000000000001</v>
      </c>
      <c r="R88" s="120">
        <v>1.044</v>
      </c>
      <c r="S88" s="120">
        <v>0</v>
      </c>
      <c r="T88" s="120">
        <v>1.0980000000000001</v>
      </c>
      <c r="U88" s="120">
        <v>-1.0980000000000001</v>
      </c>
      <c r="V88" s="120">
        <v>0</v>
      </c>
      <c r="W88" s="120">
        <v>-1.0980000000000001</v>
      </c>
      <c r="X88" s="120">
        <v>-1.0980000000000001</v>
      </c>
      <c r="Y88" s="120">
        <v>0</v>
      </c>
      <c r="Z88" s="120">
        <v>0</v>
      </c>
      <c r="AA88" s="120">
        <v>0</v>
      </c>
      <c r="AB88" s="120">
        <v>0</v>
      </c>
    </row>
    <row r="89" spans="3:45" x14ac:dyDescent="0.25">
      <c r="C89" s="88"/>
      <c r="F89" t="s">
        <v>198</v>
      </c>
      <c r="G89" s="28" t="s">
        <v>282</v>
      </c>
      <c r="H89" s="209"/>
      <c r="I89" s="209"/>
      <c r="J89" s="120">
        <v>1.0980000000000001</v>
      </c>
      <c r="K89" s="120">
        <v>1.0980000000000001</v>
      </c>
      <c r="L89" s="120">
        <v>1.0980000000000001</v>
      </c>
      <c r="M89" s="120">
        <v>1.0980000000000001</v>
      </c>
      <c r="N89" s="120">
        <v>1.0980000000000001</v>
      </c>
      <c r="O89" s="120">
        <v>0</v>
      </c>
      <c r="P89" s="120">
        <v>0</v>
      </c>
      <c r="Q89" s="120">
        <v>1.0980000000000001</v>
      </c>
      <c r="R89" s="120">
        <v>0</v>
      </c>
      <c r="S89" s="120">
        <v>0</v>
      </c>
      <c r="T89" s="120">
        <v>1.0980000000000001</v>
      </c>
      <c r="U89" s="120">
        <v>0</v>
      </c>
      <c r="V89" s="120">
        <v>0</v>
      </c>
      <c r="W89" s="120">
        <v>0</v>
      </c>
      <c r="X89" s="120">
        <v>0</v>
      </c>
      <c r="Y89" s="120">
        <v>0</v>
      </c>
      <c r="Z89" s="120">
        <v>0</v>
      </c>
      <c r="AA89" s="120">
        <v>0</v>
      </c>
      <c r="AB89" s="120">
        <v>0</v>
      </c>
    </row>
    <row r="90" spans="3:45" x14ac:dyDescent="0.25">
      <c r="C90" s="88"/>
      <c r="F90" t="s">
        <v>375</v>
      </c>
      <c r="G90" s="28" t="s">
        <v>282</v>
      </c>
      <c r="J90" s="79"/>
      <c r="K90" s="79"/>
      <c r="L90" s="79"/>
      <c r="M90" s="79"/>
      <c r="N90" s="79"/>
      <c r="O90" s="79"/>
      <c r="P90" s="79"/>
      <c r="Q90" s="79"/>
      <c r="R90" s="79"/>
      <c r="S90" s="79"/>
      <c r="T90" s="79"/>
      <c r="U90" s="79"/>
      <c r="V90" s="79"/>
      <c r="W90" s="79"/>
      <c r="X90" s="79"/>
      <c r="Y90" s="79"/>
      <c r="Z90" s="79"/>
      <c r="AA90" s="79"/>
      <c r="AB90" s="79"/>
    </row>
    <row r="91" spans="3:45" x14ac:dyDescent="0.25">
      <c r="C91" s="88"/>
      <c r="F91" s="37" t="s">
        <v>376</v>
      </c>
      <c r="G91" s="67" t="s">
        <v>282</v>
      </c>
      <c r="H91" s="37"/>
      <c r="I91" s="37"/>
      <c r="J91" s="81"/>
      <c r="K91" s="81"/>
      <c r="L91" s="81"/>
      <c r="M91" s="81"/>
      <c r="N91" s="81"/>
      <c r="O91" s="81"/>
      <c r="P91" s="81"/>
      <c r="Q91" s="81"/>
      <c r="R91" s="81"/>
      <c r="S91" s="81"/>
      <c r="T91" s="81"/>
      <c r="U91" s="81"/>
      <c r="V91" s="81"/>
      <c r="W91" s="81"/>
      <c r="X91" s="81"/>
      <c r="Y91" s="81"/>
      <c r="Z91" s="81"/>
      <c r="AA91" s="81"/>
      <c r="AB91" s="81"/>
    </row>
    <row r="92" spans="3:45" x14ac:dyDescent="0.25">
      <c r="C92" s="88"/>
      <c r="F92" s="2"/>
    </row>
    <row r="93" spans="3:45" x14ac:dyDescent="0.25">
      <c r="D93"/>
      <c r="E93" s="32" t="s">
        <v>119</v>
      </c>
      <c r="H93" s="14"/>
      <c r="J93" s="63"/>
      <c r="L93" s="63"/>
      <c r="AS93" s="3"/>
    </row>
    <row r="94" spans="3:45" x14ac:dyDescent="0.25">
      <c r="C94" s="32"/>
      <c r="D94"/>
      <c r="E94"/>
      <c r="F94" s="23" t="s">
        <v>190</v>
      </c>
      <c r="G94" s="23" t="s">
        <v>166</v>
      </c>
      <c r="H94" s="129"/>
      <c r="I94" s="23"/>
      <c r="J94" s="107">
        <f>'Standing charge factors'!J44</f>
        <v>0</v>
      </c>
      <c r="K94" s="107">
        <f>'Standing charge factors'!K44</f>
        <v>0</v>
      </c>
      <c r="L94" s="107">
        <f>'Standing charge factors'!L44</f>
        <v>0</v>
      </c>
      <c r="M94" s="107">
        <f>'Standing charge factors'!M44</f>
        <v>0</v>
      </c>
      <c r="N94" s="107">
        <f>'Standing charge factors'!N44</f>
        <v>0</v>
      </c>
      <c r="O94" s="107">
        <f>'Standing charge factors'!O44</f>
        <v>0</v>
      </c>
      <c r="P94" s="107">
        <f>'Standing charge factors'!P44</f>
        <v>0</v>
      </c>
      <c r="Q94" s="107">
        <f>'Standing charge factors'!Q44</f>
        <v>0</v>
      </c>
      <c r="R94" s="107">
        <f>'Standing charge factors'!R44</f>
        <v>0</v>
      </c>
      <c r="S94" s="107">
        <f>'Standing charge factors'!S44</f>
        <v>0</v>
      </c>
      <c r="T94" s="107">
        <f>'Standing charge factors'!T44</f>
        <v>0</v>
      </c>
      <c r="U94" s="107">
        <f>'Standing charge factors'!U44</f>
        <v>0</v>
      </c>
      <c r="V94" s="107">
        <f>'Standing charge factors'!V44</f>
        <v>0</v>
      </c>
      <c r="W94" s="107">
        <f>'Standing charge factors'!W44</f>
        <v>0</v>
      </c>
      <c r="X94" s="107">
        <f>'Standing charge factors'!X44</f>
        <v>0</v>
      </c>
      <c r="Y94" s="107">
        <f>'Standing charge factors'!Y44</f>
        <v>0</v>
      </c>
      <c r="Z94" s="107">
        <f>'Standing charge factors'!Z44</f>
        <v>0</v>
      </c>
      <c r="AA94" s="107">
        <f>'Standing charge factors'!AA44</f>
        <v>0</v>
      </c>
      <c r="AB94" s="107">
        <f>'Standing charge factors'!AB44</f>
        <v>0</v>
      </c>
      <c r="AS94" s="3"/>
    </row>
    <row r="95" spans="3:45" x14ac:dyDescent="0.25">
      <c r="C95" s="32"/>
      <c r="D95"/>
      <c r="E95"/>
      <c r="F95" t="s">
        <v>191</v>
      </c>
      <c r="G95" t="s">
        <v>166</v>
      </c>
      <c r="H95" s="63"/>
      <c r="J95" s="25">
        <f>'Standing charge factors'!J45</f>
        <v>0</v>
      </c>
      <c r="K95" s="25">
        <f>'Standing charge factors'!K45</f>
        <v>0</v>
      </c>
      <c r="L95" s="25">
        <f>'Standing charge factors'!L45</f>
        <v>0</v>
      </c>
      <c r="M95" s="25">
        <f>'Standing charge factors'!M45</f>
        <v>0</v>
      </c>
      <c r="N95" s="25">
        <f>'Standing charge factors'!N45</f>
        <v>0</v>
      </c>
      <c r="O95" s="25">
        <f>'Standing charge factors'!O45</f>
        <v>0</v>
      </c>
      <c r="P95" s="25">
        <f>'Standing charge factors'!P45</f>
        <v>0</v>
      </c>
      <c r="Q95" s="25">
        <f>'Standing charge factors'!Q45</f>
        <v>0</v>
      </c>
      <c r="R95" s="25">
        <f>'Standing charge factors'!R45</f>
        <v>0</v>
      </c>
      <c r="S95" s="25">
        <f>'Standing charge factors'!S45</f>
        <v>0</v>
      </c>
      <c r="T95" s="25">
        <f>'Standing charge factors'!T45</f>
        <v>0</v>
      </c>
      <c r="U95" s="25">
        <f>'Standing charge factors'!U45</f>
        <v>0</v>
      </c>
      <c r="V95" s="25">
        <f>'Standing charge factors'!V45</f>
        <v>0</v>
      </c>
      <c r="W95" s="25">
        <f>'Standing charge factors'!W45</f>
        <v>0</v>
      </c>
      <c r="X95" s="25">
        <f>'Standing charge factors'!X45</f>
        <v>0</v>
      </c>
      <c r="Y95" s="25">
        <f>'Standing charge factors'!Y45</f>
        <v>0</v>
      </c>
      <c r="Z95" s="25">
        <f>'Standing charge factors'!Z45</f>
        <v>0</v>
      </c>
      <c r="AA95" s="25">
        <f>'Standing charge factors'!AA45</f>
        <v>0</v>
      </c>
      <c r="AB95" s="25">
        <f>'Standing charge factors'!AB45</f>
        <v>0</v>
      </c>
      <c r="AS95" s="3"/>
    </row>
    <row r="96" spans="3:45" x14ac:dyDescent="0.25">
      <c r="C96" s="32"/>
      <c r="D96"/>
      <c r="E96"/>
      <c r="F96" t="s">
        <v>192</v>
      </c>
      <c r="G96" t="s">
        <v>166</v>
      </c>
      <c r="H96" s="63"/>
      <c r="J96" s="25">
        <f>'Standing charge factors'!J46</f>
        <v>0</v>
      </c>
      <c r="K96" s="25">
        <f>'Standing charge factors'!K46</f>
        <v>0</v>
      </c>
      <c r="L96" s="25">
        <f>'Standing charge factors'!L46</f>
        <v>0</v>
      </c>
      <c r="M96" s="25">
        <f>'Standing charge factors'!M46</f>
        <v>0</v>
      </c>
      <c r="N96" s="25">
        <f>'Standing charge factors'!N46</f>
        <v>0</v>
      </c>
      <c r="O96" s="25">
        <f>'Standing charge factors'!O46</f>
        <v>0</v>
      </c>
      <c r="P96" s="25">
        <f>'Standing charge factors'!P46</f>
        <v>0</v>
      </c>
      <c r="Q96" s="25">
        <f>'Standing charge factors'!Q46</f>
        <v>0</v>
      </c>
      <c r="R96" s="25">
        <f>'Standing charge factors'!R46</f>
        <v>0</v>
      </c>
      <c r="S96" s="25">
        <f>'Standing charge factors'!S46</f>
        <v>0</v>
      </c>
      <c r="T96" s="25">
        <f>'Standing charge factors'!T46</f>
        <v>0</v>
      </c>
      <c r="U96" s="25">
        <f>'Standing charge factors'!U46</f>
        <v>0</v>
      </c>
      <c r="V96" s="25">
        <f>'Standing charge factors'!V46</f>
        <v>0</v>
      </c>
      <c r="W96" s="25">
        <f>'Standing charge factors'!W46</f>
        <v>0</v>
      </c>
      <c r="X96" s="25">
        <f>'Standing charge factors'!X46</f>
        <v>0</v>
      </c>
      <c r="Y96" s="25">
        <f>'Standing charge factors'!Y46</f>
        <v>0</v>
      </c>
      <c r="Z96" s="25">
        <f>'Standing charge factors'!Z46</f>
        <v>0</v>
      </c>
      <c r="AA96" s="25">
        <f>'Standing charge factors'!AA46</f>
        <v>0</v>
      </c>
      <c r="AB96" s="25">
        <f>'Standing charge factors'!AB46</f>
        <v>0</v>
      </c>
      <c r="AS96" s="3"/>
    </row>
    <row r="97" spans="3:45" x14ac:dyDescent="0.25">
      <c r="C97" s="32"/>
      <c r="D97"/>
      <c r="E97"/>
      <c r="F97" t="s">
        <v>193</v>
      </c>
      <c r="G97" t="s">
        <v>166</v>
      </c>
      <c r="H97" s="63"/>
      <c r="J97" s="25">
        <f>'Standing charge factors'!J47</f>
        <v>0</v>
      </c>
      <c r="K97" s="25">
        <f>'Standing charge factors'!K47</f>
        <v>0</v>
      </c>
      <c r="L97" s="25">
        <f>'Standing charge factors'!L47</f>
        <v>0</v>
      </c>
      <c r="M97" s="25">
        <f>'Standing charge factors'!M47</f>
        <v>0</v>
      </c>
      <c r="N97" s="25">
        <f>'Standing charge factors'!N47</f>
        <v>0</v>
      </c>
      <c r="O97" s="25">
        <f>'Standing charge factors'!O47</f>
        <v>0</v>
      </c>
      <c r="P97" s="25">
        <f>'Standing charge factors'!P47</f>
        <v>0.2</v>
      </c>
      <c r="Q97" s="25">
        <f>'Standing charge factors'!Q47</f>
        <v>0</v>
      </c>
      <c r="R97" s="25">
        <f>'Standing charge factors'!R47</f>
        <v>0</v>
      </c>
      <c r="S97" s="25">
        <f>'Standing charge factors'!S47</f>
        <v>0.2</v>
      </c>
      <c r="T97" s="25">
        <f>'Standing charge factors'!T47</f>
        <v>0</v>
      </c>
      <c r="U97" s="25">
        <f>'Standing charge factors'!U47</f>
        <v>0</v>
      </c>
      <c r="V97" s="25">
        <f>'Standing charge factors'!V47</f>
        <v>0</v>
      </c>
      <c r="W97" s="25">
        <f>'Standing charge factors'!W47</f>
        <v>0</v>
      </c>
      <c r="X97" s="25">
        <f>'Standing charge factors'!X47</f>
        <v>0</v>
      </c>
      <c r="Y97" s="25">
        <f>'Standing charge factors'!Y47</f>
        <v>0</v>
      </c>
      <c r="Z97" s="25">
        <f>'Standing charge factors'!Z47</f>
        <v>0</v>
      </c>
      <c r="AA97" s="25">
        <f>'Standing charge factors'!AA47</f>
        <v>0</v>
      </c>
      <c r="AB97" s="25">
        <f>'Standing charge factors'!AB47</f>
        <v>0</v>
      </c>
      <c r="AS97" s="3"/>
    </row>
    <row r="98" spans="3:45" x14ac:dyDescent="0.25">
      <c r="C98" s="32"/>
      <c r="D98"/>
      <c r="E98"/>
      <c r="F98" t="s">
        <v>194</v>
      </c>
      <c r="G98" t="s">
        <v>166</v>
      </c>
      <c r="H98" s="63"/>
      <c r="J98" s="25">
        <f>'Standing charge factors'!J48</f>
        <v>0</v>
      </c>
      <c r="K98" s="25">
        <f>'Standing charge factors'!K48</f>
        <v>0</v>
      </c>
      <c r="L98" s="25">
        <f>'Standing charge factors'!L48</f>
        <v>0</v>
      </c>
      <c r="M98" s="25">
        <f>'Standing charge factors'!M48</f>
        <v>0</v>
      </c>
      <c r="N98" s="25">
        <f>'Standing charge factors'!N48</f>
        <v>0</v>
      </c>
      <c r="O98" s="25">
        <f>'Standing charge factors'!O48</f>
        <v>0</v>
      </c>
      <c r="P98" s="25">
        <f>'Standing charge factors'!P48</f>
        <v>1</v>
      </c>
      <c r="Q98" s="25">
        <f>'Standing charge factors'!Q48</f>
        <v>0</v>
      </c>
      <c r="R98" s="25">
        <f>'Standing charge factors'!R48</f>
        <v>0</v>
      </c>
      <c r="S98" s="25">
        <f>'Standing charge factors'!S48</f>
        <v>1</v>
      </c>
      <c r="T98" s="25">
        <f>'Standing charge factors'!T48</f>
        <v>0</v>
      </c>
      <c r="U98" s="25">
        <f>'Standing charge factors'!U48</f>
        <v>0</v>
      </c>
      <c r="V98" s="25">
        <f>'Standing charge factors'!V48</f>
        <v>0</v>
      </c>
      <c r="W98" s="25">
        <f>'Standing charge factors'!W48</f>
        <v>0</v>
      </c>
      <c r="X98" s="25">
        <f>'Standing charge factors'!X48</f>
        <v>0</v>
      </c>
      <c r="Y98" s="25">
        <f>'Standing charge factors'!Y48</f>
        <v>0</v>
      </c>
      <c r="Z98" s="25">
        <f>'Standing charge factors'!Z48</f>
        <v>0</v>
      </c>
      <c r="AA98" s="25">
        <f>'Standing charge factors'!AA48</f>
        <v>0</v>
      </c>
      <c r="AB98" s="25">
        <f>'Standing charge factors'!AB48</f>
        <v>0</v>
      </c>
      <c r="AS98" s="3"/>
    </row>
    <row r="99" spans="3:45" x14ac:dyDescent="0.25">
      <c r="C99" s="32"/>
      <c r="D99"/>
      <c r="E99"/>
      <c r="F99" t="s">
        <v>195</v>
      </c>
      <c r="G99" t="s">
        <v>166</v>
      </c>
      <c r="H99" s="63"/>
      <c r="J99" s="25">
        <f>'Standing charge factors'!J49</f>
        <v>0</v>
      </c>
      <c r="K99" s="25">
        <f>'Standing charge factors'!K49</f>
        <v>0</v>
      </c>
      <c r="L99" s="25">
        <f>'Standing charge factors'!L49</f>
        <v>0</v>
      </c>
      <c r="M99" s="25">
        <f>'Standing charge factors'!M49</f>
        <v>0</v>
      </c>
      <c r="N99" s="25">
        <f>'Standing charge factors'!N49</f>
        <v>0</v>
      </c>
      <c r="O99" s="25">
        <f>'Standing charge factors'!O49</f>
        <v>0</v>
      </c>
      <c r="P99" s="25">
        <f>'Standing charge factors'!P49</f>
        <v>1</v>
      </c>
      <c r="Q99" s="25">
        <f>'Standing charge factors'!Q49</f>
        <v>0</v>
      </c>
      <c r="R99" s="25">
        <f>'Standing charge factors'!R49</f>
        <v>0</v>
      </c>
      <c r="S99" s="25">
        <f>'Standing charge factors'!S49</f>
        <v>1</v>
      </c>
      <c r="T99" s="25">
        <f>'Standing charge factors'!T49</f>
        <v>0</v>
      </c>
      <c r="U99" s="25">
        <f>'Standing charge factors'!U49</f>
        <v>0</v>
      </c>
      <c r="V99" s="25">
        <f>'Standing charge factors'!V49</f>
        <v>0</v>
      </c>
      <c r="W99" s="25">
        <f>'Standing charge factors'!W49</f>
        <v>0</v>
      </c>
      <c r="X99" s="25">
        <f>'Standing charge factors'!X49</f>
        <v>0</v>
      </c>
      <c r="Y99" s="25">
        <f>'Standing charge factors'!Y49</f>
        <v>0</v>
      </c>
      <c r="Z99" s="25">
        <f>'Standing charge factors'!Z49</f>
        <v>0</v>
      </c>
      <c r="AA99" s="25">
        <f>'Standing charge factors'!AA49</f>
        <v>0</v>
      </c>
      <c r="AB99" s="25">
        <f>'Standing charge factors'!AB49</f>
        <v>0</v>
      </c>
      <c r="AS99" s="3"/>
    </row>
    <row r="100" spans="3:45" x14ac:dyDescent="0.25">
      <c r="C100" s="32"/>
      <c r="D100"/>
      <c r="E100"/>
      <c r="F100" t="s">
        <v>196</v>
      </c>
      <c r="G100" t="s">
        <v>166</v>
      </c>
      <c r="H100" s="63"/>
      <c r="J100" s="25">
        <f>'Standing charge factors'!J50</f>
        <v>0</v>
      </c>
      <c r="K100" s="25">
        <f>'Standing charge factors'!K50</f>
        <v>0</v>
      </c>
      <c r="L100" s="25">
        <f>'Standing charge factors'!L50</f>
        <v>0</v>
      </c>
      <c r="M100" s="25">
        <f>'Standing charge factors'!M50</f>
        <v>0</v>
      </c>
      <c r="N100" s="25">
        <f>'Standing charge factors'!N50</f>
        <v>0.2</v>
      </c>
      <c r="O100" s="25">
        <f>'Standing charge factors'!O50</f>
        <v>1</v>
      </c>
      <c r="P100" s="25">
        <f>'Standing charge factors'!P50</f>
        <v>1</v>
      </c>
      <c r="Q100" s="25">
        <f>'Standing charge factors'!Q50</f>
        <v>0.2</v>
      </c>
      <c r="R100" s="25">
        <f>'Standing charge factors'!R50</f>
        <v>1</v>
      </c>
      <c r="S100" s="25">
        <f>'Standing charge factors'!S50</f>
        <v>1</v>
      </c>
      <c r="T100" s="25">
        <f>'Standing charge factors'!T50</f>
        <v>0</v>
      </c>
      <c r="U100" s="25">
        <f>'Standing charge factors'!U50</f>
        <v>0</v>
      </c>
      <c r="V100" s="25">
        <f>'Standing charge factors'!V50</f>
        <v>0</v>
      </c>
      <c r="W100" s="25">
        <f>'Standing charge factors'!W50</f>
        <v>0</v>
      </c>
      <c r="X100" s="25">
        <f>'Standing charge factors'!X50</f>
        <v>0</v>
      </c>
      <c r="Y100" s="25">
        <f>'Standing charge factors'!Y50</f>
        <v>0</v>
      </c>
      <c r="Z100" s="25">
        <f>'Standing charge factors'!Z50</f>
        <v>0</v>
      </c>
      <c r="AA100" s="25">
        <f>'Standing charge factors'!AA50</f>
        <v>0</v>
      </c>
      <c r="AB100" s="25">
        <f>'Standing charge factors'!AB50</f>
        <v>0</v>
      </c>
      <c r="AS100" s="3"/>
    </row>
    <row r="101" spans="3:45" x14ac:dyDescent="0.25">
      <c r="C101" s="32"/>
      <c r="D101"/>
      <c r="E101"/>
      <c r="F101" t="s">
        <v>197</v>
      </c>
      <c r="G101" t="s">
        <v>166</v>
      </c>
      <c r="H101" s="63"/>
      <c r="J101" s="25">
        <f>'Standing charge factors'!J51</f>
        <v>0</v>
      </c>
      <c r="K101" s="25">
        <f>'Standing charge factors'!K51</f>
        <v>0</v>
      </c>
      <c r="L101" s="25">
        <f>'Standing charge factors'!L51</f>
        <v>0</v>
      </c>
      <c r="M101" s="25">
        <f>'Standing charge factors'!M51</f>
        <v>0</v>
      </c>
      <c r="N101" s="25">
        <f>'Standing charge factors'!N51</f>
        <v>1</v>
      </c>
      <c r="O101" s="25">
        <f>'Standing charge factors'!O51</f>
        <v>1</v>
      </c>
      <c r="P101" s="25">
        <f>'Standing charge factors'!P51</f>
        <v>0</v>
      </c>
      <c r="Q101" s="25">
        <f>'Standing charge factors'!Q51</f>
        <v>1</v>
      </c>
      <c r="R101" s="25">
        <f>'Standing charge factors'!R51</f>
        <v>1</v>
      </c>
      <c r="S101" s="25">
        <f>'Standing charge factors'!S51</f>
        <v>0</v>
      </c>
      <c r="T101" s="25">
        <f>'Standing charge factors'!T51</f>
        <v>0</v>
      </c>
      <c r="U101" s="25">
        <f>'Standing charge factors'!U51</f>
        <v>0</v>
      </c>
      <c r="V101" s="25">
        <f>'Standing charge factors'!V51</f>
        <v>0</v>
      </c>
      <c r="W101" s="25">
        <f>'Standing charge factors'!W51</f>
        <v>0</v>
      </c>
      <c r="X101" s="25">
        <f>'Standing charge factors'!X51</f>
        <v>0</v>
      </c>
      <c r="Y101" s="25">
        <f>'Standing charge factors'!Y51</f>
        <v>0</v>
      </c>
      <c r="Z101" s="25">
        <f>'Standing charge factors'!Z51</f>
        <v>0</v>
      </c>
      <c r="AA101" s="25">
        <f>'Standing charge factors'!AA51</f>
        <v>0</v>
      </c>
      <c r="AB101" s="25">
        <f>'Standing charge factors'!AB51</f>
        <v>0</v>
      </c>
      <c r="AS101" s="3"/>
    </row>
    <row r="102" spans="3:45" x14ac:dyDescent="0.25">
      <c r="C102" s="32"/>
      <c r="D102"/>
      <c r="E102"/>
      <c r="F102" s="37" t="s">
        <v>198</v>
      </c>
      <c r="G102" s="37" t="s">
        <v>166</v>
      </c>
      <c r="H102" s="130"/>
      <c r="I102" s="37"/>
      <c r="J102" s="141">
        <f>'Standing charge factors'!J52</f>
        <v>1</v>
      </c>
      <c r="K102" s="141">
        <f>'Standing charge factors'!K52</f>
        <v>1</v>
      </c>
      <c r="L102" s="141">
        <f>'Standing charge factors'!L52</f>
        <v>1</v>
      </c>
      <c r="M102" s="141">
        <f>'Standing charge factors'!M52</f>
        <v>1</v>
      </c>
      <c r="N102" s="141">
        <f>'Standing charge factors'!N52</f>
        <v>1</v>
      </c>
      <c r="O102" s="141">
        <f>'Standing charge factors'!O52</f>
        <v>0</v>
      </c>
      <c r="P102" s="141">
        <f>'Standing charge factors'!P52</f>
        <v>0</v>
      </c>
      <c r="Q102" s="141">
        <f>'Standing charge factors'!Q52</f>
        <v>1</v>
      </c>
      <c r="R102" s="141">
        <f>'Standing charge factors'!R52</f>
        <v>0</v>
      </c>
      <c r="S102" s="141">
        <f>'Standing charge factors'!S52</f>
        <v>0</v>
      </c>
      <c r="T102" s="141">
        <f>'Standing charge factors'!T52</f>
        <v>0</v>
      </c>
      <c r="U102" s="141">
        <f>'Standing charge factors'!U52</f>
        <v>0</v>
      </c>
      <c r="V102" s="141">
        <f>'Standing charge factors'!V52</f>
        <v>0</v>
      </c>
      <c r="W102" s="141">
        <f>'Standing charge factors'!W52</f>
        <v>0</v>
      </c>
      <c r="X102" s="141">
        <f>'Standing charge factors'!X52</f>
        <v>0</v>
      </c>
      <c r="Y102" s="141">
        <f>'Standing charge factors'!Y52</f>
        <v>0</v>
      </c>
      <c r="Z102" s="141">
        <f>'Standing charge factors'!Z52</f>
        <v>0</v>
      </c>
      <c r="AA102" s="141">
        <f>'Standing charge factors'!AA52</f>
        <v>0</v>
      </c>
      <c r="AB102" s="141">
        <f>'Standing charge factors'!AB52</f>
        <v>0</v>
      </c>
      <c r="AS102" s="3"/>
    </row>
    <row r="103" spans="3:45" x14ac:dyDescent="0.25">
      <c r="C103" s="88"/>
      <c r="D103"/>
      <c r="F103" s="2"/>
    </row>
    <row r="104" spans="3:45" x14ac:dyDescent="0.25">
      <c r="E104" s="32" t="s">
        <v>694</v>
      </c>
    </row>
    <row r="105" spans="3:45" x14ac:dyDescent="0.25">
      <c r="C105" s="88"/>
      <c r="F105" s="23" t="s">
        <v>188</v>
      </c>
      <c r="G105" s="23" t="s">
        <v>166</v>
      </c>
      <c r="H105" s="208"/>
      <c r="I105" s="208"/>
      <c r="J105" s="65"/>
      <c r="K105" s="65"/>
      <c r="L105" s="65"/>
      <c r="M105" s="65"/>
      <c r="N105" s="65"/>
      <c r="O105" s="65"/>
      <c r="P105" s="65"/>
      <c r="Q105" s="65"/>
      <c r="R105" s="65"/>
      <c r="S105" s="65"/>
      <c r="T105" s="65"/>
      <c r="U105" s="65"/>
      <c r="V105" s="65"/>
      <c r="W105" s="65"/>
      <c r="X105" s="65"/>
      <c r="Y105" s="65"/>
      <c r="Z105" s="65"/>
      <c r="AA105" s="65"/>
      <c r="AB105" s="65"/>
    </row>
    <row r="106" spans="3:45" x14ac:dyDescent="0.25">
      <c r="C106" s="88"/>
      <c r="F106" t="s">
        <v>190</v>
      </c>
      <c r="G106" t="s">
        <v>166</v>
      </c>
      <c r="H106" s="209"/>
      <c r="I106" s="209"/>
      <c r="J106" s="66"/>
      <c r="K106" s="66"/>
      <c r="L106" s="66"/>
      <c r="M106" s="66"/>
      <c r="N106" s="66"/>
      <c r="O106" s="66"/>
      <c r="P106" s="66"/>
      <c r="Q106" s="66"/>
      <c r="R106" s="66"/>
      <c r="S106" s="66"/>
      <c r="T106" s="66"/>
      <c r="U106" s="66"/>
      <c r="V106" s="66"/>
      <c r="W106" s="66"/>
      <c r="X106" s="66"/>
      <c r="Y106" s="66"/>
      <c r="Z106" s="66"/>
      <c r="AA106" s="66"/>
      <c r="AB106" s="66"/>
    </row>
    <row r="107" spans="3:45" x14ac:dyDescent="0.25">
      <c r="C107" s="88"/>
      <c r="F107" t="s">
        <v>191</v>
      </c>
      <c r="G107" t="s">
        <v>166</v>
      </c>
      <c r="H107" s="209"/>
      <c r="I107" s="209"/>
      <c r="J107" s="25">
        <f t="array" ref="J107:AB114">TRANSPOSE('Customer contributions'!L54:S72)</f>
        <v>0</v>
      </c>
      <c r="K107" s="25">
        <v>0</v>
      </c>
      <c r="L107" s="25">
        <v>0</v>
      </c>
      <c r="M107" s="25">
        <v>0</v>
      </c>
      <c r="N107" s="25">
        <v>0</v>
      </c>
      <c r="O107" s="25">
        <v>0</v>
      </c>
      <c r="P107" s="25">
        <v>0</v>
      </c>
      <c r="Q107" s="25">
        <v>0</v>
      </c>
      <c r="R107" s="25">
        <v>0</v>
      </c>
      <c r="S107" s="25">
        <v>0</v>
      </c>
      <c r="T107" s="25">
        <v>0</v>
      </c>
      <c r="U107" s="25">
        <v>0</v>
      </c>
      <c r="V107" s="25">
        <v>0</v>
      </c>
      <c r="W107" s="25">
        <v>0</v>
      </c>
      <c r="X107" s="25">
        <v>0</v>
      </c>
      <c r="Y107" s="25">
        <v>0</v>
      </c>
      <c r="Z107" s="25">
        <v>0</v>
      </c>
      <c r="AA107" s="25">
        <v>0</v>
      </c>
      <c r="AB107" s="25">
        <v>0</v>
      </c>
    </row>
    <row r="108" spans="3:45" x14ac:dyDescent="0.25">
      <c r="C108" s="88"/>
      <c r="F108" t="s">
        <v>192</v>
      </c>
      <c r="G108" t="s">
        <v>166</v>
      </c>
      <c r="H108" s="209"/>
      <c r="I108" s="209"/>
      <c r="J108" s="25">
        <v>0</v>
      </c>
      <c r="K108" s="25">
        <v>0</v>
      </c>
      <c r="L108" s="25">
        <v>0</v>
      </c>
      <c r="M108" s="25">
        <v>0</v>
      </c>
      <c r="N108" s="25">
        <v>0</v>
      </c>
      <c r="O108" s="25">
        <v>0</v>
      </c>
      <c r="P108" s="25">
        <v>0</v>
      </c>
      <c r="Q108" s="25">
        <v>0</v>
      </c>
      <c r="R108" s="25">
        <v>0</v>
      </c>
      <c r="S108" s="25">
        <v>0</v>
      </c>
      <c r="T108" s="25">
        <v>0</v>
      </c>
      <c r="U108" s="25">
        <v>0</v>
      </c>
      <c r="V108" s="25">
        <v>0</v>
      </c>
      <c r="W108" s="25">
        <v>0</v>
      </c>
      <c r="X108" s="25">
        <v>0</v>
      </c>
      <c r="Y108" s="25">
        <v>0</v>
      </c>
      <c r="Z108" s="25">
        <v>0</v>
      </c>
      <c r="AA108" s="25">
        <v>0</v>
      </c>
      <c r="AB108" s="25">
        <v>0</v>
      </c>
    </row>
    <row r="109" spans="3:45" x14ac:dyDescent="0.25">
      <c r="C109" s="88"/>
      <c r="F109" t="s">
        <v>193</v>
      </c>
      <c r="G109" t="s">
        <v>166</v>
      </c>
      <c r="H109" s="209"/>
      <c r="I109" s="209"/>
      <c r="J109" s="25">
        <v>0</v>
      </c>
      <c r="K109" s="25">
        <v>0</v>
      </c>
      <c r="L109" s="25">
        <v>0</v>
      </c>
      <c r="M109" s="25">
        <v>0</v>
      </c>
      <c r="N109" s="25">
        <v>0</v>
      </c>
      <c r="O109" s="25">
        <v>0</v>
      </c>
      <c r="P109" s="25">
        <v>3.11004784688995E-2</v>
      </c>
      <c r="Q109" s="25">
        <v>0</v>
      </c>
      <c r="R109" s="25">
        <v>0</v>
      </c>
      <c r="S109" s="25">
        <v>3.11004784688995E-2</v>
      </c>
      <c r="T109" s="25">
        <v>0</v>
      </c>
      <c r="U109" s="25">
        <v>0</v>
      </c>
      <c r="V109" s="25">
        <v>0</v>
      </c>
      <c r="W109" s="25">
        <v>0</v>
      </c>
      <c r="X109" s="25">
        <v>0</v>
      </c>
      <c r="Y109" s="25">
        <v>0</v>
      </c>
      <c r="Z109" s="25">
        <v>0</v>
      </c>
      <c r="AA109" s="25">
        <v>3.11004784688995E-2</v>
      </c>
      <c r="AB109" s="25">
        <v>3.11004784688995E-2</v>
      </c>
    </row>
    <row r="110" spans="3:45" x14ac:dyDescent="0.25">
      <c r="C110" s="88"/>
      <c r="F110" t="s">
        <v>194</v>
      </c>
      <c r="G110" t="s">
        <v>166</v>
      </c>
      <c r="H110" s="209"/>
      <c r="I110" s="209"/>
      <c r="J110" s="25">
        <v>0</v>
      </c>
      <c r="K110" s="25">
        <v>0</v>
      </c>
      <c r="L110" s="25">
        <v>0</v>
      </c>
      <c r="M110" s="25">
        <v>0</v>
      </c>
      <c r="N110" s="25">
        <v>0</v>
      </c>
      <c r="O110" s="25">
        <v>0</v>
      </c>
      <c r="P110" s="25">
        <v>0.14212259371833799</v>
      </c>
      <c r="Q110" s="25">
        <v>0</v>
      </c>
      <c r="R110" s="25">
        <v>0</v>
      </c>
      <c r="S110" s="25">
        <v>0.14212259371833799</v>
      </c>
      <c r="T110" s="25">
        <v>0</v>
      </c>
      <c r="U110" s="25">
        <v>0</v>
      </c>
      <c r="V110" s="25">
        <v>0</v>
      </c>
      <c r="W110" s="25">
        <v>0</v>
      </c>
      <c r="X110" s="25">
        <v>0</v>
      </c>
      <c r="Y110" s="25">
        <v>0</v>
      </c>
      <c r="Z110" s="25">
        <v>0</v>
      </c>
      <c r="AA110" s="25">
        <v>0.14212259371833799</v>
      </c>
      <c r="AB110" s="25">
        <v>0.14212259371833799</v>
      </c>
    </row>
    <row r="111" spans="3:45" x14ac:dyDescent="0.25">
      <c r="C111" s="88"/>
      <c r="F111" t="s">
        <v>195</v>
      </c>
      <c r="G111" t="s">
        <v>166</v>
      </c>
      <c r="H111" s="209"/>
      <c r="I111" s="209"/>
      <c r="J111" s="25">
        <v>0</v>
      </c>
      <c r="K111" s="25">
        <v>0</v>
      </c>
      <c r="L111" s="25">
        <v>0</v>
      </c>
      <c r="M111" s="25">
        <v>0</v>
      </c>
      <c r="N111" s="25">
        <v>0</v>
      </c>
      <c r="O111" s="25">
        <v>0</v>
      </c>
      <c r="P111" s="25">
        <v>0</v>
      </c>
      <c r="Q111" s="25">
        <v>0</v>
      </c>
      <c r="R111" s="25">
        <v>0</v>
      </c>
      <c r="S111" s="25">
        <v>0</v>
      </c>
      <c r="T111" s="25">
        <v>0</v>
      </c>
      <c r="U111" s="25">
        <v>0</v>
      </c>
      <c r="V111" s="25">
        <v>0</v>
      </c>
      <c r="W111" s="25">
        <v>0</v>
      </c>
      <c r="X111" s="25">
        <v>0</v>
      </c>
      <c r="Y111" s="25">
        <v>0</v>
      </c>
      <c r="Z111" s="25">
        <v>0</v>
      </c>
      <c r="AA111" s="25">
        <v>0</v>
      </c>
      <c r="AB111" s="25">
        <v>0</v>
      </c>
    </row>
    <row r="112" spans="3:45" x14ac:dyDescent="0.25">
      <c r="C112" s="88"/>
      <c r="F112" t="s">
        <v>196</v>
      </c>
      <c r="G112" t="s">
        <v>166</v>
      </c>
      <c r="H112" s="209"/>
      <c r="I112" s="209"/>
      <c r="J112" s="25">
        <v>0.20065197841726601</v>
      </c>
      <c r="K112" s="25">
        <v>0.20065197841726601</v>
      </c>
      <c r="L112" s="25">
        <v>0.20065197841726601</v>
      </c>
      <c r="M112" s="25">
        <v>0.20065197841726601</v>
      </c>
      <c r="N112" s="25">
        <v>0.20065197841726601</v>
      </c>
      <c r="O112" s="25">
        <v>0.20065197841726601</v>
      </c>
      <c r="P112" s="25">
        <v>0.45146695143884902</v>
      </c>
      <c r="Q112" s="25">
        <v>0.20065197841726601</v>
      </c>
      <c r="R112" s="25">
        <v>0.20065197841726601</v>
      </c>
      <c r="S112" s="25">
        <v>0.45146695143884902</v>
      </c>
      <c r="T112" s="25">
        <v>0.20065197841726601</v>
      </c>
      <c r="U112" s="25">
        <v>0.20065197841726601</v>
      </c>
      <c r="V112" s="25">
        <v>0.20065197841726601</v>
      </c>
      <c r="W112" s="25">
        <v>0.20065197841726601</v>
      </c>
      <c r="X112" s="25">
        <v>0.20065197841726601</v>
      </c>
      <c r="Y112" s="25">
        <v>0.20065197841726601</v>
      </c>
      <c r="Z112" s="25">
        <v>0.20065197841726601</v>
      </c>
      <c r="AA112" s="25">
        <v>0.45146695143884902</v>
      </c>
      <c r="AB112" s="25">
        <v>0.45146695143884902</v>
      </c>
    </row>
    <row r="113" spans="2:30" x14ac:dyDescent="0.25">
      <c r="C113" s="88"/>
      <c r="F113" t="s">
        <v>197</v>
      </c>
      <c r="G113" t="s">
        <v>166</v>
      </c>
      <c r="H113" s="209"/>
      <c r="I113" s="209"/>
      <c r="J113" s="25">
        <v>0.26968503937007898</v>
      </c>
      <c r="K113" s="25">
        <v>0.26968503937007898</v>
      </c>
      <c r="L113" s="25">
        <v>0.26968503937007898</v>
      </c>
      <c r="M113" s="25">
        <v>0.26968503937007898</v>
      </c>
      <c r="N113" s="25">
        <v>0.26968503937007898</v>
      </c>
      <c r="O113" s="25">
        <v>0.26968503937007898</v>
      </c>
      <c r="P113" s="25">
        <v>0</v>
      </c>
      <c r="Q113" s="25">
        <v>0.26968503937007898</v>
      </c>
      <c r="R113" s="25">
        <v>0.26968503937007898</v>
      </c>
      <c r="S113" s="25">
        <v>0</v>
      </c>
      <c r="T113" s="25">
        <v>0.26968503937007898</v>
      </c>
      <c r="U113" s="25">
        <v>0.26968503937007898</v>
      </c>
      <c r="V113" s="25">
        <v>0.26968503937007898</v>
      </c>
      <c r="W113" s="25">
        <v>0.26968503937007898</v>
      </c>
      <c r="X113" s="25">
        <v>0.26968503937007898</v>
      </c>
      <c r="Y113" s="25">
        <v>0.26968503937007898</v>
      </c>
      <c r="Z113" s="25">
        <v>0.26968503937007898</v>
      </c>
      <c r="AA113" s="25">
        <v>0</v>
      </c>
      <c r="AB113" s="25">
        <v>0</v>
      </c>
    </row>
    <row r="114" spans="2:30" x14ac:dyDescent="0.25">
      <c r="C114" s="88"/>
      <c r="F114" t="s">
        <v>198</v>
      </c>
      <c r="G114" t="s">
        <v>166</v>
      </c>
      <c r="H114" s="209"/>
      <c r="I114" s="209"/>
      <c r="J114" s="25">
        <v>0.92371773930088197</v>
      </c>
      <c r="K114" s="25">
        <v>0.92371773930088197</v>
      </c>
      <c r="L114" s="25">
        <v>0.92371773930088197</v>
      </c>
      <c r="M114" s="25">
        <v>0.92371773930088197</v>
      </c>
      <c r="N114" s="25">
        <v>0.92371773930088197</v>
      </c>
      <c r="O114" s="25">
        <v>0</v>
      </c>
      <c r="P114" s="25">
        <v>0</v>
      </c>
      <c r="Q114" s="25">
        <v>0.92371773930088197</v>
      </c>
      <c r="R114" s="25">
        <v>0</v>
      </c>
      <c r="S114" s="25">
        <v>0</v>
      </c>
      <c r="T114" s="25">
        <v>0.92371773930088197</v>
      </c>
      <c r="U114" s="25">
        <v>0.92371773930088197</v>
      </c>
      <c r="V114" s="25">
        <v>0</v>
      </c>
      <c r="W114" s="25">
        <v>0.92371773930088197</v>
      </c>
      <c r="X114" s="25">
        <v>0.92371773930088197</v>
      </c>
      <c r="Y114" s="25">
        <v>0</v>
      </c>
      <c r="Z114" s="25">
        <v>0</v>
      </c>
      <c r="AA114" s="25">
        <v>0</v>
      </c>
      <c r="AB114" s="25">
        <v>0</v>
      </c>
    </row>
    <row r="115" spans="2:30" x14ac:dyDescent="0.25">
      <c r="C115" s="88"/>
      <c r="F115" t="s">
        <v>375</v>
      </c>
      <c r="G115" t="s">
        <v>166</v>
      </c>
      <c r="J115" s="66"/>
      <c r="K115" s="66"/>
      <c r="L115" s="66"/>
      <c r="M115" s="66"/>
      <c r="N115" s="66"/>
      <c r="O115" s="66"/>
      <c r="P115" s="66"/>
      <c r="Q115" s="66"/>
      <c r="R115" s="66"/>
      <c r="S115" s="66"/>
      <c r="T115" s="66"/>
      <c r="U115" s="66"/>
      <c r="V115" s="66"/>
      <c r="W115" s="66"/>
      <c r="X115" s="66"/>
      <c r="Y115" s="66"/>
      <c r="Z115" s="66"/>
      <c r="AA115" s="66"/>
      <c r="AB115" s="66"/>
    </row>
    <row r="116" spans="2:30" x14ac:dyDescent="0.25">
      <c r="C116" s="88"/>
      <c r="F116" s="37" t="s">
        <v>376</v>
      </c>
      <c r="G116" s="37" t="s">
        <v>166</v>
      </c>
      <c r="H116" s="37"/>
      <c r="I116" s="37"/>
      <c r="J116" s="68"/>
      <c r="K116" s="68"/>
      <c r="L116" s="68"/>
      <c r="M116" s="68"/>
      <c r="N116" s="68"/>
      <c r="O116" s="68"/>
      <c r="P116" s="68"/>
      <c r="Q116" s="68"/>
      <c r="R116" s="68"/>
      <c r="S116" s="68"/>
      <c r="T116" s="68"/>
      <c r="U116" s="68"/>
      <c r="V116" s="68"/>
      <c r="W116" s="68"/>
      <c r="X116" s="68"/>
      <c r="Y116" s="68"/>
      <c r="Z116" s="68"/>
      <c r="AA116" s="68"/>
      <c r="AB116" s="68"/>
    </row>
    <row r="117" spans="2:30" x14ac:dyDescent="0.25">
      <c r="C117" s="88"/>
      <c r="D117"/>
      <c r="F117" s="2"/>
    </row>
    <row r="118" spans="2:30" x14ac:dyDescent="0.25">
      <c r="D118"/>
      <c r="E118" s="32" t="s">
        <v>695</v>
      </c>
      <c r="F118" s="2"/>
      <c r="I118" t="s">
        <v>153</v>
      </c>
      <c r="AD118" t="s">
        <v>696</v>
      </c>
    </row>
    <row r="119" spans="2:30" x14ac:dyDescent="0.25">
      <c r="D119"/>
      <c r="E119" s="29" t="s">
        <v>697</v>
      </c>
      <c r="F119" s="2"/>
    </row>
    <row r="120" spans="2:30" x14ac:dyDescent="0.25">
      <c r="D120"/>
      <c r="E120" s="29" t="s">
        <v>698</v>
      </c>
      <c r="F120" s="2"/>
    </row>
    <row r="121" spans="2:30" x14ac:dyDescent="0.25">
      <c r="D121"/>
      <c r="F121" s="23" t="s">
        <v>699</v>
      </c>
      <c r="G121" s="23" t="s">
        <v>672</v>
      </c>
      <c r="H121" s="23"/>
      <c r="I121" s="23"/>
      <c r="J121" s="147">
        <f>'Fixed inputs'!J136</f>
        <v>0</v>
      </c>
      <c r="K121" s="147">
        <f>'Fixed inputs'!K136</f>
        <v>0</v>
      </c>
      <c r="L121" s="147">
        <f>'Fixed inputs'!L136</f>
        <v>0</v>
      </c>
      <c r="M121" s="147">
        <f>'Fixed inputs'!M136</f>
        <v>0</v>
      </c>
      <c r="N121" s="147">
        <f>'Fixed inputs'!N136</f>
        <v>1</v>
      </c>
      <c r="O121" s="147">
        <f>'Fixed inputs'!O136</f>
        <v>1</v>
      </c>
      <c r="P121" s="147">
        <f>'Fixed inputs'!P136</f>
        <v>1</v>
      </c>
      <c r="Q121" s="147">
        <f>'Fixed inputs'!Q136</f>
        <v>1</v>
      </c>
      <c r="R121" s="147">
        <f>'Fixed inputs'!R136</f>
        <v>1</v>
      </c>
      <c r="S121" s="147">
        <f>'Fixed inputs'!S136</f>
        <v>1</v>
      </c>
      <c r="T121" s="147">
        <f>'Fixed inputs'!T136</f>
        <v>0</v>
      </c>
      <c r="U121" s="147">
        <f>'Fixed inputs'!U136</f>
        <v>0</v>
      </c>
      <c r="V121" s="147">
        <f>'Fixed inputs'!V136</f>
        <v>0</v>
      </c>
      <c r="W121" s="147">
        <f>'Fixed inputs'!W136</f>
        <v>0</v>
      </c>
      <c r="X121" s="147">
        <f>'Fixed inputs'!X136</f>
        <v>0</v>
      </c>
      <c r="Y121" s="147">
        <f>'Fixed inputs'!Y136</f>
        <v>0</v>
      </c>
      <c r="Z121" s="147">
        <f>'Fixed inputs'!Z136</f>
        <v>0</v>
      </c>
      <c r="AA121" s="147">
        <f>'Fixed inputs'!AA136</f>
        <v>0</v>
      </c>
      <c r="AB121" s="147">
        <f>'Fixed inputs'!AB136</f>
        <v>0</v>
      </c>
    </row>
    <row r="122" spans="2:30" x14ac:dyDescent="0.25">
      <c r="D122"/>
      <c r="F122" t="s">
        <v>700</v>
      </c>
      <c r="G122" t="s">
        <v>672</v>
      </c>
      <c r="J122" s="169">
        <f>'Fixed inputs'!J137</f>
        <v>0</v>
      </c>
      <c r="K122" s="169">
        <f>'Fixed inputs'!K137</f>
        <v>0</v>
      </c>
      <c r="L122" s="169">
        <f>'Fixed inputs'!L137</f>
        <v>0</v>
      </c>
      <c r="M122" s="169">
        <f>'Fixed inputs'!M137</f>
        <v>0</v>
      </c>
      <c r="N122" s="169">
        <f>'Fixed inputs'!N137</f>
        <v>1</v>
      </c>
      <c r="O122" s="169">
        <f>'Fixed inputs'!O137</f>
        <v>1</v>
      </c>
      <c r="P122" s="169">
        <f>'Fixed inputs'!P137</f>
        <v>1</v>
      </c>
      <c r="Q122" s="169">
        <f>'Fixed inputs'!Q137</f>
        <v>1</v>
      </c>
      <c r="R122" s="169">
        <f>'Fixed inputs'!R137</f>
        <v>1</v>
      </c>
      <c r="S122" s="169">
        <f>'Fixed inputs'!S137</f>
        <v>1</v>
      </c>
      <c r="T122" s="169">
        <f>'Fixed inputs'!T137</f>
        <v>0</v>
      </c>
      <c r="U122" s="169">
        <f>'Fixed inputs'!U137</f>
        <v>0</v>
      </c>
      <c r="V122" s="169">
        <f>'Fixed inputs'!V137</f>
        <v>0</v>
      </c>
      <c r="W122" s="169">
        <f>'Fixed inputs'!W137</f>
        <v>0</v>
      </c>
      <c r="X122" s="169">
        <f>'Fixed inputs'!X137</f>
        <v>0</v>
      </c>
      <c r="Y122" s="169">
        <f>'Fixed inputs'!Y137</f>
        <v>0</v>
      </c>
      <c r="Z122" s="169">
        <f>'Fixed inputs'!Z137</f>
        <v>0</v>
      </c>
      <c r="AA122" s="169">
        <f>'Fixed inputs'!AA137</f>
        <v>0</v>
      </c>
      <c r="AB122" s="169">
        <f>'Fixed inputs'!AB137</f>
        <v>0</v>
      </c>
    </row>
    <row r="123" spans="2:30" x14ac:dyDescent="0.25">
      <c r="D123"/>
      <c r="F123" s="37" t="s">
        <v>226</v>
      </c>
      <c r="G123" s="37" t="s">
        <v>672</v>
      </c>
      <c r="H123" s="37"/>
      <c r="I123" s="37"/>
      <c r="J123" s="148">
        <f>'Fixed inputs'!J139</f>
        <v>1</v>
      </c>
      <c r="K123" s="148">
        <f>'Fixed inputs'!K139</f>
        <v>0</v>
      </c>
      <c r="L123" s="148">
        <f>'Fixed inputs'!L139</f>
        <v>1</v>
      </c>
      <c r="M123" s="148">
        <f>'Fixed inputs'!M139</f>
        <v>0</v>
      </c>
      <c r="N123" s="148">
        <f>'Fixed inputs'!N139</f>
        <v>0</v>
      </c>
      <c r="O123" s="148">
        <f>'Fixed inputs'!O139</f>
        <v>0</v>
      </c>
      <c r="P123" s="148">
        <f>'Fixed inputs'!P139</f>
        <v>0</v>
      </c>
      <c r="Q123" s="148">
        <f>'Fixed inputs'!Q139</f>
        <v>0</v>
      </c>
      <c r="R123" s="148">
        <f>'Fixed inputs'!R139</f>
        <v>0</v>
      </c>
      <c r="S123" s="148">
        <f>'Fixed inputs'!S139</f>
        <v>0</v>
      </c>
      <c r="T123" s="148">
        <f>'Fixed inputs'!T139</f>
        <v>0</v>
      </c>
      <c r="U123" s="148">
        <f>'Fixed inputs'!U139</f>
        <v>0</v>
      </c>
      <c r="V123" s="148">
        <f>'Fixed inputs'!V139</f>
        <v>0</v>
      </c>
      <c r="W123" s="148">
        <f>'Fixed inputs'!W139</f>
        <v>0</v>
      </c>
      <c r="X123" s="148">
        <f>'Fixed inputs'!X139</f>
        <v>0</v>
      </c>
      <c r="Y123" s="148">
        <f>'Fixed inputs'!Y139</f>
        <v>0</v>
      </c>
      <c r="Z123" s="148">
        <f>'Fixed inputs'!Z139</f>
        <v>0</v>
      </c>
      <c r="AA123" s="148">
        <f>'Fixed inputs'!AA139</f>
        <v>0</v>
      </c>
      <c r="AB123" s="148">
        <f>'Fixed inputs'!AB139</f>
        <v>0</v>
      </c>
    </row>
    <row r="124" spans="2:30" x14ac:dyDescent="0.25">
      <c r="C124" s="88"/>
    </row>
    <row r="125" spans="2:30" x14ac:dyDescent="0.25">
      <c r="B125" s="30" t="s">
        <v>701</v>
      </c>
      <c r="C125" s="30"/>
      <c r="D125" s="30"/>
      <c r="E125" s="30"/>
      <c r="F125" s="30"/>
      <c r="G125" s="30"/>
      <c r="H125" s="30"/>
      <c r="I125" s="30"/>
      <c r="J125" s="30"/>
      <c r="K125" s="30"/>
      <c r="L125" s="30"/>
      <c r="M125" s="30"/>
      <c r="N125" s="30"/>
      <c r="O125" s="30"/>
      <c r="P125" s="30"/>
      <c r="Q125" s="30"/>
      <c r="R125" s="30"/>
      <c r="S125" s="30"/>
      <c r="T125" s="30"/>
      <c r="U125" s="30"/>
      <c r="V125" s="30"/>
      <c r="W125" s="30"/>
      <c r="X125" s="30"/>
      <c r="Y125" s="30"/>
      <c r="Z125" s="30"/>
      <c r="AA125" s="30"/>
      <c r="AB125" s="30"/>
      <c r="AC125" s="30"/>
      <c r="AD125" s="30"/>
    </row>
    <row r="126" spans="2:30" x14ac:dyDescent="0.25">
      <c r="C126" s="88"/>
    </row>
    <row r="127" spans="2:30" x14ac:dyDescent="0.25">
      <c r="B127" s="203"/>
      <c r="C127" s="29" t="s">
        <v>702</v>
      </c>
      <c r="D127"/>
      <c r="E127"/>
    </row>
    <row r="128" spans="2:30" x14ac:dyDescent="0.25">
      <c r="C128" s="88"/>
    </row>
    <row r="129" spans="3:30" x14ac:dyDescent="0.25">
      <c r="C129" s="31" t="str">
        <f ca="1">INDEX('Version control'!$H$34:$H$57,MATCH($A$1,'Version control'!$F$34:$F$57,0),1)&amp;"-B: Capacity-based charge elements (to be split between capacity &amp; fixed charges)"</f>
        <v>Section 113-B: Capacity-based charge elements (to be split between capacity &amp; fixed charges)</v>
      </c>
      <c r="D129" s="31"/>
      <c r="E129" s="31"/>
      <c r="F129" s="31"/>
      <c r="G129" s="31"/>
      <c r="H129" s="31"/>
      <c r="I129" s="31"/>
      <c r="J129" s="31"/>
      <c r="K129" s="31"/>
      <c r="L129" s="31"/>
      <c r="M129" s="31"/>
      <c r="N129" s="31"/>
      <c r="O129" s="31"/>
      <c r="P129" s="31"/>
      <c r="Q129" s="31"/>
      <c r="R129" s="31"/>
      <c r="S129" s="31"/>
      <c r="T129" s="31"/>
      <c r="U129" s="31"/>
      <c r="V129" s="31"/>
      <c r="W129" s="31"/>
      <c r="X129" s="31"/>
      <c r="Y129" s="31"/>
      <c r="Z129" s="31"/>
      <c r="AA129" s="31"/>
      <c r="AB129" s="31"/>
      <c r="AC129" s="31"/>
      <c r="AD129" s="31"/>
    </row>
    <row r="131" spans="3:30" x14ac:dyDescent="0.25">
      <c r="C131" s="88"/>
      <c r="E131" s="32" t="s">
        <v>620</v>
      </c>
      <c r="I131" t="s">
        <v>153</v>
      </c>
      <c r="AD131" t="s">
        <v>703</v>
      </c>
    </row>
    <row r="132" spans="3:30" x14ac:dyDescent="0.25">
      <c r="C132" s="88"/>
      <c r="F132" s="23" t="s">
        <v>188</v>
      </c>
      <c r="G132" s="23" t="s">
        <v>270</v>
      </c>
      <c r="H132" s="23"/>
      <c r="I132" s="23"/>
      <c r="J132" s="83"/>
      <c r="K132" s="83"/>
      <c r="L132" s="83"/>
      <c r="M132" s="83"/>
      <c r="N132" s="83"/>
      <c r="O132" s="83"/>
      <c r="P132" s="83"/>
      <c r="Q132" s="83"/>
      <c r="R132" s="83"/>
      <c r="S132" s="83"/>
      <c r="T132" s="83"/>
      <c r="U132" s="83"/>
      <c r="V132" s="83"/>
      <c r="W132" s="83"/>
      <c r="X132" s="83"/>
      <c r="Y132" s="83"/>
      <c r="Z132" s="83"/>
      <c r="AA132" s="83"/>
      <c r="AB132" s="83"/>
    </row>
    <row r="133" spans="3:30" x14ac:dyDescent="0.25">
      <c r="C133" s="88"/>
      <c r="F133" t="s">
        <v>190</v>
      </c>
      <c r="G133" t="s">
        <v>270</v>
      </c>
      <c r="J133" s="79"/>
      <c r="K133" s="79"/>
      <c r="L133" s="79"/>
      <c r="M133" s="79"/>
      <c r="N133" s="79"/>
      <c r="O133" s="79"/>
      <c r="P133" s="79"/>
      <c r="Q133" s="79"/>
      <c r="R133" s="79"/>
      <c r="S133" s="79"/>
      <c r="T133" s="79"/>
      <c r="U133" s="79"/>
      <c r="V133" s="79"/>
      <c r="W133" s="79"/>
      <c r="X133" s="79"/>
      <c r="Y133" s="79"/>
      <c r="Z133" s="79"/>
      <c r="AA133" s="79"/>
      <c r="AB133" s="79"/>
    </row>
    <row r="134" spans="3:30" x14ac:dyDescent="0.25">
      <c r="C134" s="88"/>
      <c r="F134" t="s">
        <v>191</v>
      </c>
      <c r="G134" t="s">
        <v>270</v>
      </c>
      <c r="J134" s="98">
        <f t="shared" ref="J134:K134" si="0">hundred*J95*$H53*J82/$H39*(1-J107)/days_in_year/(1+$H25)*PowerFactor</f>
        <v>0</v>
      </c>
      <c r="K134" s="98">
        <f t="shared" si="0"/>
        <v>0</v>
      </c>
      <c r="L134" s="98">
        <f t="shared" ref="L134:M134" si="1">hundred*L95*$H53*L82/$H39*(1-L107)/days_in_year/(1+$H25)*PowerFactor</f>
        <v>0</v>
      </c>
      <c r="M134" s="98">
        <f t="shared" si="1"/>
        <v>0</v>
      </c>
      <c r="N134" s="98">
        <f t="shared" ref="N134:P134" si="2">hundred*N95*$H53*N82/$H39*(1-N107)/days_in_year/(1+$H25)*PowerFactor</f>
        <v>0</v>
      </c>
      <c r="O134" s="98">
        <f t="shared" si="2"/>
        <v>0</v>
      </c>
      <c r="P134" s="98">
        <f t="shared" si="2"/>
        <v>0</v>
      </c>
      <c r="Q134" s="98">
        <f t="shared" ref="Q134:S134" si="3">hundred*Q95*$H53*Q82/$H39*(1-Q107)/days_in_year/(1+$H25)*PowerFactor</f>
        <v>0</v>
      </c>
      <c r="R134" s="98">
        <f t="shared" si="3"/>
        <v>0</v>
      </c>
      <c r="S134" s="98">
        <f t="shared" si="3"/>
        <v>0</v>
      </c>
      <c r="T134" s="98">
        <f t="shared" ref="T134" si="4">hundred*T95*$H53*T82/$H39*(1-T107)/days_in_year/(1+$H25)*PowerFactor</f>
        <v>0</v>
      </c>
      <c r="U134" s="79"/>
      <c r="V134" s="79"/>
      <c r="W134" s="79"/>
      <c r="X134" s="79"/>
      <c r="Y134" s="79"/>
      <c r="Z134" s="79"/>
      <c r="AA134" s="79"/>
      <c r="AB134" s="79"/>
    </row>
    <row r="135" spans="3:30" x14ac:dyDescent="0.25">
      <c r="C135" s="88"/>
      <c r="F135" t="s">
        <v>192</v>
      </c>
      <c r="G135" t="s">
        <v>270</v>
      </c>
      <c r="J135" s="98">
        <f t="shared" ref="J135:K135" si="5">hundred*J96*$H54*J83/$H40*(1-J108)/days_in_year/(1+$H26)*PowerFactor</f>
        <v>0</v>
      </c>
      <c r="K135" s="98">
        <f t="shared" si="5"/>
        <v>0</v>
      </c>
      <c r="L135" s="98">
        <f t="shared" ref="L135:M135" si="6">hundred*L96*$H54*L83/$H40*(1-L108)/days_in_year/(1+$H26)*PowerFactor</f>
        <v>0</v>
      </c>
      <c r="M135" s="98">
        <f t="shared" si="6"/>
        <v>0</v>
      </c>
      <c r="N135" s="98">
        <f t="shared" ref="N135:P135" si="7">hundred*N96*$H54*N83/$H40*(1-N108)/days_in_year/(1+$H26)*PowerFactor</f>
        <v>0</v>
      </c>
      <c r="O135" s="98">
        <f t="shared" si="7"/>
        <v>0</v>
      </c>
      <c r="P135" s="98">
        <f t="shared" si="7"/>
        <v>0</v>
      </c>
      <c r="Q135" s="98">
        <f t="shared" ref="Q135:S135" si="8">hundred*Q96*$H54*Q83/$H40*(1-Q108)/days_in_year/(1+$H26)*PowerFactor</f>
        <v>0</v>
      </c>
      <c r="R135" s="98">
        <f t="shared" si="8"/>
        <v>0</v>
      </c>
      <c r="S135" s="98">
        <f t="shared" si="8"/>
        <v>0</v>
      </c>
      <c r="T135" s="98">
        <f t="shared" ref="T135" si="9">hundred*T96*$H54*T83/$H40*(1-T108)/days_in_year/(1+$H26)*PowerFactor</f>
        <v>0</v>
      </c>
      <c r="U135" s="79"/>
      <c r="V135" s="79"/>
      <c r="W135" s="79"/>
      <c r="X135" s="79"/>
      <c r="Y135" s="79"/>
      <c r="Z135" s="79"/>
      <c r="AA135" s="79"/>
      <c r="AB135" s="79"/>
    </row>
    <row r="136" spans="3:30" x14ac:dyDescent="0.25">
      <c r="C136" s="88"/>
      <c r="F136" t="s">
        <v>193</v>
      </c>
      <c r="G136" t="s">
        <v>270</v>
      </c>
      <c r="J136" s="98">
        <f t="shared" ref="J136:K136" si="10">hundred*J97*$H55*J84/$H41*(1-J109)/days_in_year/(1+$H27)*PowerFactor</f>
        <v>0</v>
      </c>
      <c r="K136" s="98">
        <f t="shared" si="10"/>
        <v>0</v>
      </c>
      <c r="L136" s="98">
        <f t="shared" ref="L136:M136" si="11">hundred*L97*$H55*L84/$H41*(1-L109)/days_in_year/(1+$H27)*PowerFactor</f>
        <v>0</v>
      </c>
      <c r="M136" s="98">
        <f t="shared" si="11"/>
        <v>0</v>
      </c>
      <c r="N136" s="98">
        <f t="shared" ref="N136:P136" si="12">hundred*N97*$H55*N84/$H41*(1-N109)/days_in_year/(1+$H27)*PowerFactor</f>
        <v>0</v>
      </c>
      <c r="O136" s="98">
        <f t="shared" si="12"/>
        <v>0</v>
      </c>
      <c r="P136" s="98">
        <f t="shared" si="12"/>
        <v>0.50998564512566313</v>
      </c>
      <c r="Q136" s="98">
        <f t="shared" ref="Q136:S136" si="13">hundred*Q97*$H55*Q84/$H41*(1-Q109)/days_in_year/(1+$H27)*PowerFactor</f>
        <v>0</v>
      </c>
      <c r="R136" s="98">
        <f t="shared" si="13"/>
        <v>0</v>
      </c>
      <c r="S136" s="98">
        <f t="shared" si="13"/>
        <v>0.50998564512566313</v>
      </c>
      <c r="T136" s="98">
        <f t="shared" ref="T136" si="14">hundred*T97*$H55*T84/$H41*(1-T109)/days_in_year/(1+$H27)*PowerFactor</f>
        <v>0</v>
      </c>
      <c r="U136" s="79"/>
      <c r="V136" s="79"/>
      <c r="W136" s="79"/>
      <c r="X136" s="79"/>
      <c r="Y136" s="79"/>
      <c r="Z136" s="79"/>
      <c r="AA136" s="79"/>
      <c r="AB136" s="79"/>
    </row>
    <row r="137" spans="3:30" x14ac:dyDescent="0.25">
      <c r="C137" s="88"/>
      <c r="F137" t="s">
        <v>194</v>
      </c>
      <c r="G137" t="s">
        <v>270</v>
      </c>
      <c r="J137" s="98">
        <f t="shared" ref="J137:K137" si="15">hundred*J98*$H56*J85/$H42*(1-J110)/days_in_year/(1+$H28)*PowerFactor</f>
        <v>0</v>
      </c>
      <c r="K137" s="98">
        <f t="shared" si="15"/>
        <v>0</v>
      </c>
      <c r="L137" s="98">
        <f t="shared" ref="L137:M137" si="16">hundred*L98*$H56*L85/$H42*(1-L110)/days_in_year/(1+$H28)*PowerFactor</f>
        <v>0</v>
      </c>
      <c r="M137" s="98">
        <f t="shared" si="16"/>
        <v>0</v>
      </c>
      <c r="N137" s="98">
        <f t="shared" ref="N137:P137" si="17">hundred*N98*$H56*N85/$H42*(1-N110)/days_in_year/(1+$H28)*PowerFactor</f>
        <v>0</v>
      </c>
      <c r="O137" s="98">
        <f t="shared" si="17"/>
        <v>0</v>
      </c>
      <c r="P137" s="98">
        <f t="shared" si="17"/>
        <v>0.57853507989949204</v>
      </c>
      <c r="Q137" s="98">
        <f t="shared" ref="Q137:S137" si="18">hundred*Q98*$H56*Q85/$H42*(1-Q110)/days_in_year/(1+$H28)*PowerFactor</f>
        <v>0</v>
      </c>
      <c r="R137" s="98">
        <f t="shared" si="18"/>
        <v>0</v>
      </c>
      <c r="S137" s="98">
        <f t="shared" si="18"/>
        <v>0.57853507989949204</v>
      </c>
      <c r="T137" s="98">
        <f t="shared" ref="T137" si="19">hundred*T98*$H56*T85/$H42*(1-T110)/days_in_year/(1+$H28)*PowerFactor</f>
        <v>0</v>
      </c>
      <c r="U137" s="79"/>
      <c r="V137" s="79"/>
      <c r="W137" s="79"/>
      <c r="X137" s="79"/>
      <c r="Y137" s="79"/>
      <c r="Z137" s="79"/>
      <c r="AA137" s="79"/>
      <c r="AB137" s="79"/>
    </row>
    <row r="138" spans="3:30" x14ac:dyDescent="0.25">
      <c r="C138" s="88"/>
      <c r="F138" t="s">
        <v>195</v>
      </c>
      <c r="G138" t="s">
        <v>270</v>
      </c>
      <c r="J138" s="98">
        <f t="shared" ref="J138:K138" si="20">hundred*J99*$H57*J86/$H43*(1-J111)/days_in_year/(1+$H29)*PowerFactor</f>
        <v>0</v>
      </c>
      <c r="K138" s="98">
        <f t="shared" si="20"/>
        <v>0</v>
      </c>
      <c r="L138" s="98">
        <f t="shared" ref="L138:M138" si="21">hundred*L99*$H57*L86/$H43*(1-L111)/days_in_year/(1+$H29)*PowerFactor</f>
        <v>0</v>
      </c>
      <c r="M138" s="98">
        <f t="shared" si="21"/>
        <v>0</v>
      </c>
      <c r="N138" s="98">
        <f t="shared" ref="N138:P138" si="22">hundred*N99*$H57*N86/$H43*(1-N111)/days_in_year/(1+$H29)*PowerFactor</f>
        <v>0</v>
      </c>
      <c r="O138" s="98">
        <f t="shared" si="22"/>
        <v>0</v>
      </c>
      <c r="P138" s="98">
        <f t="shared" si="22"/>
        <v>0</v>
      </c>
      <c r="Q138" s="98">
        <f t="shared" ref="Q138:S138" si="23">hundred*Q99*$H57*Q86/$H43*(1-Q111)/days_in_year/(1+$H29)*PowerFactor</f>
        <v>0</v>
      </c>
      <c r="R138" s="98">
        <f t="shared" si="23"/>
        <v>0</v>
      </c>
      <c r="S138" s="98">
        <f t="shared" si="23"/>
        <v>0</v>
      </c>
      <c r="T138" s="98">
        <f t="shared" ref="T138" si="24">hundred*T99*$H57*T86/$H43*(1-T111)/days_in_year/(1+$H29)*PowerFactor</f>
        <v>0</v>
      </c>
      <c r="U138" s="79"/>
      <c r="V138" s="79"/>
      <c r="W138" s="79"/>
      <c r="X138" s="79"/>
      <c r="Y138" s="79"/>
      <c r="Z138" s="79"/>
      <c r="AA138" s="79"/>
      <c r="AB138" s="79"/>
    </row>
    <row r="139" spans="3:30" x14ac:dyDescent="0.25">
      <c r="C139" s="88"/>
      <c r="F139" t="s">
        <v>196</v>
      </c>
      <c r="G139" t="s">
        <v>270</v>
      </c>
      <c r="J139" s="98">
        <f t="shared" ref="J139:K139" si="25">hundred*J100*$H58*J87/$H44*(1-J112)/days_in_year/(1+$H30)*PowerFactor</f>
        <v>0</v>
      </c>
      <c r="K139" s="98">
        <f t="shared" si="25"/>
        <v>0</v>
      </c>
      <c r="L139" s="98">
        <f t="shared" ref="L139:M139" si="26">hundred*L100*$H58*L87/$H44*(1-L112)/days_in_year/(1+$H30)*PowerFactor</f>
        <v>0</v>
      </c>
      <c r="M139" s="98">
        <f t="shared" si="26"/>
        <v>0</v>
      </c>
      <c r="N139" s="98">
        <f t="shared" ref="N139:P139" si="27">hundred*N100*$H58*N87/$H44*(1-N112)/days_in_year/(1+$H30)*PowerFactor</f>
        <v>0.39708965079178232</v>
      </c>
      <c r="O139" s="98">
        <f t="shared" si="27"/>
        <v>1.8878032578625719</v>
      </c>
      <c r="P139" s="98">
        <f t="shared" si="27"/>
        <v>1.2731233615976907</v>
      </c>
      <c r="Q139" s="98">
        <f t="shared" ref="Q139:S139" si="28">hundred*Q100*$H58*Q87/$H44*(1-Q112)/days_in_year/(1+$H30)*PowerFactor</f>
        <v>0.39708965079178232</v>
      </c>
      <c r="R139" s="98">
        <f t="shared" si="28"/>
        <v>1.8878032578625719</v>
      </c>
      <c r="S139" s="98">
        <f t="shared" si="28"/>
        <v>1.2731233615976907</v>
      </c>
      <c r="T139" s="98">
        <f t="shared" ref="T139" si="29">hundred*T100*$H58*T87/$H44*(1-T112)/days_in_year/(1+$H30)*PowerFactor</f>
        <v>0</v>
      </c>
      <c r="U139" s="79"/>
      <c r="V139" s="79"/>
      <c r="W139" s="79"/>
      <c r="X139" s="79"/>
      <c r="Y139" s="79"/>
      <c r="Z139" s="79"/>
      <c r="AA139" s="79"/>
      <c r="AB139" s="79"/>
    </row>
    <row r="140" spans="3:30" x14ac:dyDescent="0.25">
      <c r="C140" s="88"/>
      <c r="F140" t="s">
        <v>197</v>
      </c>
      <c r="G140" t="s">
        <v>270</v>
      </c>
      <c r="J140" s="98">
        <f t="shared" ref="J140:K140" si="30">hundred*J101*$H59*J88/$H45*(1-J113)/days_in_year/(1+$H31)*PowerFactor</f>
        <v>0</v>
      </c>
      <c r="K140" s="98">
        <f t="shared" si="30"/>
        <v>0</v>
      </c>
      <c r="L140" s="98">
        <f t="shared" ref="L140:M140" si="31">hundred*L101*$H59*L88/$H45*(1-L113)/days_in_year/(1+$H31)*PowerFactor</f>
        <v>0</v>
      </c>
      <c r="M140" s="98">
        <f t="shared" si="31"/>
        <v>0</v>
      </c>
      <c r="N140" s="98">
        <f t="shared" ref="N140:P140" si="32">hundred*N101*$H59*N88/$H45*(1-N113)/days_in_year/(1+$H31)*PowerFactor</f>
        <v>0.45590492725063009</v>
      </c>
      <c r="O140" s="98">
        <f t="shared" si="32"/>
        <v>0.43348337345141869</v>
      </c>
      <c r="P140" s="98">
        <f t="shared" si="32"/>
        <v>0</v>
      </c>
      <c r="Q140" s="98">
        <f t="shared" ref="Q140:S140" si="33">hundred*Q101*$H59*Q88/$H45*(1-Q113)/days_in_year/(1+$H31)*PowerFactor</f>
        <v>0.45590492725063009</v>
      </c>
      <c r="R140" s="98">
        <f t="shared" si="33"/>
        <v>0.43348337345141869</v>
      </c>
      <c r="S140" s="98">
        <f t="shared" si="33"/>
        <v>0</v>
      </c>
      <c r="T140" s="98">
        <f t="shared" ref="T140" si="34">hundred*T101*$H59*T88/$H45*(1-T113)/days_in_year/(1+$H31)*PowerFactor</f>
        <v>0</v>
      </c>
      <c r="U140" s="79"/>
      <c r="V140" s="79"/>
      <c r="W140" s="79"/>
      <c r="X140" s="79"/>
      <c r="Y140" s="79"/>
      <c r="Z140" s="79"/>
      <c r="AA140" s="79"/>
      <c r="AB140" s="79"/>
    </row>
    <row r="141" spans="3:30" x14ac:dyDescent="0.25">
      <c r="C141" s="88"/>
      <c r="F141" t="s">
        <v>198</v>
      </c>
      <c r="G141" t="s">
        <v>270</v>
      </c>
      <c r="J141" s="98">
        <f t="shared" ref="J141:K141" si="35">hundred*J102*$H60*J89/$H46*(1-J114)/days_in_year/(1+$H32)*PowerFactor</f>
        <v>7.640178367250032E-2</v>
      </c>
      <c r="K141" s="98">
        <f t="shared" si="35"/>
        <v>7.640178367250032E-2</v>
      </c>
      <c r="L141" s="98">
        <f t="shared" ref="L141:M141" si="36">hundred*L102*$H60*L89/$H46*(1-L114)/days_in_year/(1+$H32)*PowerFactor</f>
        <v>7.640178367250032E-2</v>
      </c>
      <c r="M141" s="98">
        <f t="shared" si="36"/>
        <v>7.640178367250032E-2</v>
      </c>
      <c r="N141" s="98">
        <f t="shared" ref="N141:P141" si="37">hundred*N102*$H60*N89/$H46*(1-N114)/days_in_year/(1+$H32)*PowerFactor</f>
        <v>7.640178367250032E-2</v>
      </c>
      <c r="O141" s="98">
        <f t="shared" si="37"/>
        <v>0</v>
      </c>
      <c r="P141" s="98">
        <f t="shared" si="37"/>
        <v>0</v>
      </c>
      <c r="Q141" s="98">
        <f t="shared" ref="Q141:S141" si="38">hundred*Q102*$H60*Q89/$H46*(1-Q114)/days_in_year/(1+$H32)*PowerFactor</f>
        <v>7.640178367250032E-2</v>
      </c>
      <c r="R141" s="98">
        <f t="shared" si="38"/>
        <v>0</v>
      </c>
      <c r="S141" s="98">
        <f t="shared" si="38"/>
        <v>0</v>
      </c>
      <c r="T141" s="98">
        <f t="shared" ref="T141" si="39">hundred*T102*$H60*T89/$H46*(1-T114)/days_in_year/(1+$H32)*PowerFactor</f>
        <v>0</v>
      </c>
      <c r="U141" s="79"/>
      <c r="V141" s="79"/>
      <c r="W141" s="79"/>
      <c r="X141" s="79"/>
      <c r="Y141" s="79"/>
      <c r="Z141" s="79"/>
      <c r="AA141" s="79"/>
      <c r="AB141" s="79"/>
    </row>
    <row r="142" spans="3:30" x14ac:dyDescent="0.25">
      <c r="C142" s="88"/>
      <c r="D142"/>
      <c r="F142" t="s">
        <v>375</v>
      </c>
      <c r="G142" t="s">
        <v>270</v>
      </c>
      <c r="J142" s="79"/>
      <c r="K142" s="79"/>
      <c r="L142" s="79"/>
      <c r="M142" s="79"/>
      <c r="N142" s="79"/>
      <c r="O142" s="79"/>
      <c r="P142" s="79"/>
      <c r="Q142" s="79"/>
      <c r="R142" s="79"/>
      <c r="S142" s="79"/>
      <c r="T142" s="79"/>
      <c r="U142" s="79"/>
      <c r="V142" s="79"/>
      <c r="W142" s="79"/>
      <c r="X142" s="79"/>
      <c r="Y142" s="79"/>
      <c r="Z142" s="79"/>
      <c r="AA142" s="79"/>
      <c r="AB142" s="79"/>
    </row>
    <row r="143" spans="3:30" x14ac:dyDescent="0.25">
      <c r="C143" s="88"/>
      <c r="D143"/>
      <c r="F143" s="37" t="s">
        <v>376</v>
      </c>
      <c r="G143" s="37" t="s">
        <v>270</v>
      </c>
      <c r="H143" s="37"/>
      <c r="I143" s="37"/>
      <c r="J143" s="81"/>
      <c r="K143" s="81"/>
      <c r="L143" s="81"/>
      <c r="M143" s="81"/>
      <c r="N143" s="81"/>
      <c r="O143" s="81"/>
      <c r="P143" s="81"/>
      <c r="Q143" s="81"/>
      <c r="R143" s="81"/>
      <c r="S143" s="81"/>
      <c r="T143" s="81"/>
      <c r="U143" s="81"/>
      <c r="V143" s="81"/>
      <c r="W143" s="81"/>
      <c r="X143" s="81"/>
      <c r="Y143" s="81"/>
      <c r="Z143" s="81"/>
      <c r="AA143" s="81"/>
      <c r="AB143" s="81"/>
    </row>
    <row r="144" spans="3:30" x14ac:dyDescent="0.25">
      <c r="C144" s="88"/>
      <c r="D144"/>
      <c r="J144" s="98"/>
      <c r="K144" s="98"/>
      <c r="L144" s="98"/>
      <c r="M144" s="98"/>
      <c r="N144" s="98"/>
      <c r="O144" s="98"/>
      <c r="P144" s="98"/>
      <c r="Q144" s="98"/>
      <c r="R144" s="98"/>
      <c r="S144" s="98"/>
      <c r="T144" s="98"/>
      <c r="U144" s="98"/>
      <c r="V144" s="98"/>
      <c r="W144" s="98"/>
      <c r="X144" s="98"/>
      <c r="Y144" s="98"/>
      <c r="Z144" s="98"/>
      <c r="AA144" s="98"/>
      <c r="AB144" s="98"/>
    </row>
    <row r="145" spans="3:30" x14ac:dyDescent="0.25">
      <c r="C145" s="88"/>
      <c r="E145" s="32" t="s">
        <v>621</v>
      </c>
      <c r="J145" s="98"/>
      <c r="K145" s="98"/>
      <c r="L145" s="98"/>
      <c r="M145" s="98"/>
      <c r="N145" s="98"/>
      <c r="O145" s="98"/>
      <c r="P145" s="98"/>
      <c r="Q145" s="98"/>
      <c r="R145" s="98"/>
      <c r="S145" s="98"/>
      <c r="T145" s="98"/>
      <c r="U145" s="98"/>
      <c r="V145" s="98"/>
      <c r="W145" s="98"/>
      <c r="X145" s="98"/>
      <c r="Y145" s="98"/>
      <c r="Z145" s="98"/>
      <c r="AA145" s="98"/>
      <c r="AB145" s="98"/>
    </row>
    <row r="146" spans="3:30" x14ac:dyDescent="0.25">
      <c r="C146" s="88"/>
      <c r="F146" s="23" t="s">
        <v>188</v>
      </c>
      <c r="G146" s="23" t="s">
        <v>270</v>
      </c>
      <c r="H146" s="23"/>
      <c r="I146" s="23"/>
      <c r="J146" s="126">
        <f t="shared" ref="J146:K146" si="40">hundred*J94*$H65*J80/$H37/days_in_year/(1+$H23)*PowerFactor</f>
        <v>0</v>
      </c>
      <c r="K146" s="126">
        <f t="shared" si="40"/>
        <v>0</v>
      </c>
      <c r="L146" s="126">
        <f t="shared" ref="L146:M146" si="41">hundred*L94*$H65*L80/$H37/days_in_year/(1+$H23)*PowerFactor</f>
        <v>0</v>
      </c>
      <c r="M146" s="126">
        <f t="shared" si="41"/>
        <v>0</v>
      </c>
      <c r="N146" s="126">
        <f t="shared" ref="N146:P146" si="42">hundred*N94*$H65*N80/$H37/days_in_year/(1+$H23)*PowerFactor</f>
        <v>0</v>
      </c>
      <c r="O146" s="126">
        <f t="shared" si="42"/>
        <v>0</v>
      </c>
      <c r="P146" s="126">
        <f t="shared" si="42"/>
        <v>0</v>
      </c>
      <c r="Q146" s="126">
        <f t="shared" ref="Q146:S146" si="43">hundred*Q94*$H65*Q80/$H37/days_in_year/(1+$H23)*PowerFactor</f>
        <v>0</v>
      </c>
      <c r="R146" s="126">
        <f t="shared" si="43"/>
        <v>0</v>
      </c>
      <c r="S146" s="126">
        <f t="shared" si="43"/>
        <v>0</v>
      </c>
      <c r="T146" s="126">
        <f t="shared" ref="T146" si="44">hundred*T94*$H65*T80/$H37/days_in_year/(1+$H23)*PowerFactor</f>
        <v>0</v>
      </c>
      <c r="U146" s="83"/>
      <c r="V146" s="83"/>
      <c r="W146" s="83"/>
      <c r="X146" s="83"/>
      <c r="Y146" s="83"/>
      <c r="Z146" s="83"/>
      <c r="AA146" s="83"/>
      <c r="AB146" s="83"/>
    </row>
    <row r="147" spans="3:30" x14ac:dyDescent="0.25">
      <c r="C147" s="88"/>
      <c r="F147" t="s">
        <v>190</v>
      </c>
      <c r="G147" t="s">
        <v>270</v>
      </c>
      <c r="J147" s="98">
        <f t="shared" ref="J147:K147" si="45">hundred*J94*$H66*J81/$H38/days_in_year/(1+$H24)*PowerFactor</f>
        <v>0</v>
      </c>
      <c r="K147" s="98">
        <f t="shared" si="45"/>
        <v>0</v>
      </c>
      <c r="L147" s="98">
        <f t="shared" ref="L147:M147" si="46">hundred*L94*$H66*L81/$H38/days_in_year/(1+$H24)*PowerFactor</f>
        <v>0</v>
      </c>
      <c r="M147" s="98">
        <f t="shared" si="46"/>
        <v>0</v>
      </c>
      <c r="N147" s="98">
        <f t="shared" ref="N147:P147" si="47">hundred*N94*$H66*N81/$H38/days_in_year/(1+$H24)*PowerFactor</f>
        <v>0</v>
      </c>
      <c r="O147" s="98">
        <f t="shared" si="47"/>
        <v>0</v>
      </c>
      <c r="P147" s="98">
        <f t="shared" si="47"/>
        <v>0</v>
      </c>
      <c r="Q147" s="98">
        <f t="shared" ref="Q147:S147" si="48">hundred*Q94*$H66*Q81/$H38/days_in_year/(1+$H24)*PowerFactor</f>
        <v>0</v>
      </c>
      <c r="R147" s="98">
        <f t="shared" si="48"/>
        <v>0</v>
      </c>
      <c r="S147" s="98">
        <f t="shared" si="48"/>
        <v>0</v>
      </c>
      <c r="T147" s="98">
        <f t="shared" ref="T147" si="49">hundred*T94*$H66*T81/$H38/days_in_year/(1+$H24)*PowerFactor</f>
        <v>0</v>
      </c>
      <c r="U147" s="79"/>
      <c r="V147" s="79"/>
      <c r="W147" s="79"/>
      <c r="X147" s="79"/>
      <c r="Y147" s="79"/>
      <c r="Z147" s="79"/>
      <c r="AA147" s="79"/>
      <c r="AB147" s="79"/>
    </row>
    <row r="148" spans="3:30" x14ac:dyDescent="0.25">
      <c r="C148" s="88"/>
      <c r="F148" t="s">
        <v>191</v>
      </c>
      <c r="G148" t="s">
        <v>270</v>
      </c>
      <c r="J148" s="98">
        <f t="shared" ref="J148:K148" si="50">hundred*J95*$H67*J82/$H39/days_in_year/(1+$H25)*PowerFactor</f>
        <v>0</v>
      </c>
      <c r="K148" s="98">
        <f t="shared" si="50"/>
        <v>0</v>
      </c>
      <c r="L148" s="98">
        <f t="shared" ref="L148:M148" si="51">hundred*L95*$H67*L82/$H39/days_in_year/(1+$H25)*PowerFactor</f>
        <v>0</v>
      </c>
      <c r="M148" s="98">
        <f t="shared" si="51"/>
        <v>0</v>
      </c>
      <c r="N148" s="98">
        <f t="shared" ref="N148:P148" si="52">hundred*N95*$H67*N82/$H39/days_in_year/(1+$H25)*PowerFactor</f>
        <v>0</v>
      </c>
      <c r="O148" s="98">
        <f t="shared" si="52"/>
        <v>0</v>
      </c>
      <c r="P148" s="98">
        <f t="shared" si="52"/>
        <v>0</v>
      </c>
      <c r="Q148" s="98">
        <f t="shared" ref="Q148:S148" si="53">hundred*Q95*$H67*Q82/$H39/days_in_year/(1+$H25)*PowerFactor</f>
        <v>0</v>
      </c>
      <c r="R148" s="98">
        <f t="shared" si="53"/>
        <v>0</v>
      </c>
      <c r="S148" s="98">
        <f t="shared" si="53"/>
        <v>0</v>
      </c>
      <c r="T148" s="98">
        <f t="shared" ref="T148" si="54">hundred*T95*$H67*T82/$H39/days_in_year/(1+$H25)*PowerFactor</f>
        <v>0</v>
      </c>
      <c r="U148" s="79"/>
      <c r="V148" s="79"/>
      <c r="W148" s="79"/>
      <c r="X148" s="79"/>
      <c r="Y148" s="79"/>
      <c r="Z148" s="79"/>
      <c r="AA148" s="79"/>
      <c r="AB148" s="79"/>
    </row>
    <row r="149" spans="3:30" x14ac:dyDescent="0.25">
      <c r="C149" s="88"/>
      <c r="F149" t="s">
        <v>192</v>
      </c>
      <c r="G149" t="s">
        <v>270</v>
      </c>
      <c r="J149" s="98">
        <f t="shared" ref="J149:K149" si="55">hundred*J96*$H68*J83/$H40/days_in_year/(1+$H26)*PowerFactor</f>
        <v>0</v>
      </c>
      <c r="K149" s="98">
        <f t="shared" si="55"/>
        <v>0</v>
      </c>
      <c r="L149" s="98">
        <f t="shared" ref="L149:M149" si="56">hundred*L96*$H68*L83/$H40/days_in_year/(1+$H26)*PowerFactor</f>
        <v>0</v>
      </c>
      <c r="M149" s="98">
        <f t="shared" si="56"/>
        <v>0</v>
      </c>
      <c r="N149" s="98">
        <f t="shared" ref="N149:P149" si="57">hundred*N96*$H68*N83/$H40/days_in_year/(1+$H26)*PowerFactor</f>
        <v>0</v>
      </c>
      <c r="O149" s="98">
        <f t="shared" si="57"/>
        <v>0</v>
      </c>
      <c r="P149" s="98">
        <f t="shared" si="57"/>
        <v>0</v>
      </c>
      <c r="Q149" s="98">
        <f t="shared" ref="Q149:S149" si="58">hundred*Q96*$H68*Q83/$H40/days_in_year/(1+$H26)*PowerFactor</f>
        <v>0</v>
      </c>
      <c r="R149" s="98">
        <f t="shared" si="58"/>
        <v>0</v>
      </c>
      <c r="S149" s="98">
        <f t="shared" si="58"/>
        <v>0</v>
      </c>
      <c r="T149" s="98">
        <f t="shared" ref="T149" si="59">hundred*T96*$H68*T83/$H40/days_in_year/(1+$H26)*PowerFactor</f>
        <v>0</v>
      </c>
      <c r="U149" s="79"/>
      <c r="V149" s="79"/>
      <c r="W149" s="79"/>
      <c r="X149" s="79"/>
      <c r="Y149" s="79"/>
      <c r="Z149" s="79"/>
      <c r="AA149" s="79"/>
      <c r="AB149" s="79"/>
    </row>
    <row r="150" spans="3:30" x14ac:dyDescent="0.25">
      <c r="C150" s="88"/>
      <c r="F150" t="s">
        <v>193</v>
      </c>
      <c r="G150" t="s">
        <v>270</v>
      </c>
      <c r="J150" s="98">
        <f t="shared" ref="J150:K150" si="60">hundred*J97*$H69*J84/$H41/days_in_year/(1+$H27)*PowerFactor</f>
        <v>0</v>
      </c>
      <c r="K150" s="98">
        <f t="shared" si="60"/>
        <v>0</v>
      </c>
      <c r="L150" s="98">
        <f t="shared" ref="L150:M150" si="61">hundred*L97*$H69*L84/$H41/days_in_year/(1+$H27)*PowerFactor</f>
        <v>0</v>
      </c>
      <c r="M150" s="98">
        <f t="shared" si="61"/>
        <v>0</v>
      </c>
      <c r="N150" s="98">
        <f t="shared" ref="N150:P150" si="62">hundred*N97*$H69*N84/$H41/days_in_year/(1+$H27)*PowerFactor</f>
        <v>0</v>
      </c>
      <c r="O150" s="98">
        <f t="shared" si="62"/>
        <v>0</v>
      </c>
      <c r="P150" s="98">
        <f t="shared" si="62"/>
        <v>0.38899959063332851</v>
      </c>
      <c r="Q150" s="98">
        <f t="shared" ref="Q150:S150" si="63">hundred*Q97*$H69*Q84/$H41/days_in_year/(1+$H27)*PowerFactor</f>
        <v>0</v>
      </c>
      <c r="R150" s="98">
        <f t="shared" si="63"/>
        <v>0</v>
      </c>
      <c r="S150" s="98">
        <f t="shared" si="63"/>
        <v>0.38899959063332851</v>
      </c>
      <c r="T150" s="98">
        <f t="shared" ref="T150" si="64">hundred*T97*$H69*T84/$H41/days_in_year/(1+$H27)*PowerFactor</f>
        <v>0</v>
      </c>
      <c r="U150" s="79"/>
      <c r="V150" s="79"/>
      <c r="W150" s="79"/>
      <c r="X150" s="79"/>
      <c r="Y150" s="79"/>
      <c r="Z150" s="79"/>
      <c r="AA150" s="79"/>
      <c r="AB150" s="79"/>
    </row>
    <row r="151" spans="3:30" x14ac:dyDescent="0.25">
      <c r="C151" s="88"/>
      <c r="F151" t="s">
        <v>194</v>
      </c>
      <c r="G151" t="s">
        <v>270</v>
      </c>
      <c r="J151" s="98">
        <f t="shared" ref="J151:K151" si="65">hundred*J98*$H70*J85/$H42/days_in_year/(1+$H28)*PowerFactor</f>
        <v>0</v>
      </c>
      <c r="K151" s="98">
        <f t="shared" si="65"/>
        <v>0</v>
      </c>
      <c r="L151" s="98">
        <f t="shared" ref="L151:M151" si="66">hundred*L98*$H70*L85/$H42/days_in_year/(1+$H28)*PowerFactor</f>
        <v>0</v>
      </c>
      <c r="M151" s="98">
        <f t="shared" si="66"/>
        <v>0</v>
      </c>
      <c r="N151" s="98">
        <f t="shared" ref="N151:P151" si="67">hundred*N98*$H70*N85/$H42/days_in_year/(1+$H28)*PowerFactor</f>
        <v>0</v>
      </c>
      <c r="O151" s="98">
        <f t="shared" si="67"/>
        <v>0</v>
      </c>
      <c r="P151" s="98">
        <f t="shared" si="67"/>
        <v>0.49839583184405867</v>
      </c>
      <c r="Q151" s="98">
        <f t="shared" ref="Q151:S151" si="68">hundred*Q98*$H70*Q85/$H42/days_in_year/(1+$H28)*PowerFactor</f>
        <v>0</v>
      </c>
      <c r="R151" s="98">
        <f t="shared" si="68"/>
        <v>0</v>
      </c>
      <c r="S151" s="98">
        <f t="shared" si="68"/>
        <v>0.49839583184405867</v>
      </c>
      <c r="T151" s="98">
        <f t="shared" ref="T151" si="69">hundred*T98*$H70*T85/$H42/days_in_year/(1+$H28)*PowerFactor</f>
        <v>0</v>
      </c>
      <c r="U151" s="79"/>
      <c r="V151" s="79"/>
      <c r="W151" s="79"/>
      <c r="X151" s="79"/>
      <c r="Y151" s="79"/>
      <c r="Z151" s="79"/>
      <c r="AA151" s="79"/>
      <c r="AB151" s="79"/>
    </row>
    <row r="152" spans="3:30" x14ac:dyDescent="0.25">
      <c r="C152" s="88"/>
      <c r="F152" t="s">
        <v>195</v>
      </c>
      <c r="G152" t="s">
        <v>270</v>
      </c>
      <c r="J152" s="98">
        <f t="shared" ref="J152:K152" si="70">hundred*J99*$H71*J86/$H43/days_in_year/(1+$H29)*PowerFactor</f>
        <v>0</v>
      </c>
      <c r="K152" s="98">
        <f t="shared" si="70"/>
        <v>0</v>
      </c>
      <c r="L152" s="98">
        <f t="shared" ref="L152:M152" si="71">hundred*L99*$H71*L86/$H43/days_in_year/(1+$H29)*PowerFactor</f>
        <v>0</v>
      </c>
      <c r="M152" s="98">
        <f t="shared" si="71"/>
        <v>0</v>
      </c>
      <c r="N152" s="98">
        <f t="shared" ref="N152:P152" si="72">hundred*N99*$H71*N86/$H43/days_in_year/(1+$H29)*PowerFactor</f>
        <v>0</v>
      </c>
      <c r="O152" s="98">
        <f t="shared" si="72"/>
        <v>0</v>
      </c>
      <c r="P152" s="98">
        <f t="shared" si="72"/>
        <v>0</v>
      </c>
      <c r="Q152" s="98">
        <f t="shared" ref="Q152:S152" si="73">hundred*Q99*$H71*Q86/$H43/days_in_year/(1+$H29)*PowerFactor</f>
        <v>0</v>
      </c>
      <c r="R152" s="98">
        <f t="shared" si="73"/>
        <v>0</v>
      </c>
      <c r="S152" s="98">
        <f t="shared" si="73"/>
        <v>0</v>
      </c>
      <c r="T152" s="98">
        <f t="shared" ref="T152" si="74">hundred*T99*$H71*T86/$H43/days_in_year/(1+$H29)*PowerFactor</f>
        <v>0</v>
      </c>
      <c r="U152" s="79"/>
      <c r="V152" s="79"/>
      <c r="W152" s="79"/>
      <c r="X152" s="79"/>
      <c r="Y152" s="79"/>
      <c r="Z152" s="79"/>
      <c r="AA152" s="79"/>
      <c r="AB152" s="79"/>
    </row>
    <row r="153" spans="3:30" x14ac:dyDescent="0.25">
      <c r="C153" s="88"/>
      <c r="F153" t="s">
        <v>196</v>
      </c>
      <c r="G153" t="s">
        <v>270</v>
      </c>
      <c r="J153" s="98">
        <f t="shared" ref="J153:K153" si="75">hundred*J100*$H72*J87/$H44/days_in_year/(1+$H30)*PowerFactor</f>
        <v>0</v>
      </c>
      <c r="K153" s="98">
        <f t="shared" si="75"/>
        <v>0</v>
      </c>
      <c r="L153" s="98">
        <f t="shared" ref="L153:M153" si="76">hundred*L100*$H72*L87/$H44/days_in_year/(1+$H30)*PowerFactor</f>
        <v>0</v>
      </c>
      <c r="M153" s="98">
        <f t="shared" si="76"/>
        <v>0</v>
      </c>
      <c r="N153" s="98">
        <f t="shared" ref="N153:P153" si="77">hundred*N100*$H72*N87/$H44/days_in_year/(1+$H30)*PowerFactor</f>
        <v>0.36713230228035904</v>
      </c>
      <c r="O153" s="98">
        <f t="shared" si="77"/>
        <v>1.7453830764148219</v>
      </c>
      <c r="P153" s="98">
        <f t="shared" si="77"/>
        <v>1.7152902647524968</v>
      </c>
      <c r="Q153" s="98">
        <f t="shared" ref="Q153:S153" si="78">hundred*Q100*$H72*Q87/$H44/days_in_year/(1+$H30)*PowerFactor</f>
        <v>0.36713230228035904</v>
      </c>
      <c r="R153" s="98">
        <f t="shared" si="78"/>
        <v>1.7453830764148219</v>
      </c>
      <c r="S153" s="98">
        <f t="shared" si="78"/>
        <v>1.7152902647524968</v>
      </c>
      <c r="T153" s="98">
        <f t="shared" ref="T153" si="79">hundred*T100*$H72*T87/$H44/days_in_year/(1+$H30)*PowerFactor</f>
        <v>0</v>
      </c>
      <c r="U153" s="79"/>
      <c r="V153" s="79"/>
      <c r="W153" s="79"/>
      <c r="X153" s="79"/>
      <c r="Y153" s="79"/>
      <c r="Z153" s="79"/>
      <c r="AA153" s="79"/>
      <c r="AB153" s="79"/>
    </row>
    <row r="154" spans="3:30" x14ac:dyDescent="0.25">
      <c r="C154" s="88"/>
      <c r="F154" t="s">
        <v>197</v>
      </c>
      <c r="G154" t="s">
        <v>270</v>
      </c>
      <c r="J154" s="98">
        <f t="shared" ref="J154:K154" si="80">hundred*J101*$H73*J88/$H45/days_in_year/(1+$H31)*PowerFactor</f>
        <v>0</v>
      </c>
      <c r="K154" s="98">
        <f t="shared" si="80"/>
        <v>0</v>
      </c>
      <c r="L154" s="98">
        <f t="shared" ref="L154:M154" si="81">hundred*L101*$H73*L88/$H45/days_in_year/(1+$H31)*PowerFactor</f>
        <v>0</v>
      </c>
      <c r="M154" s="98">
        <f t="shared" si="81"/>
        <v>0</v>
      </c>
      <c r="N154" s="98">
        <f t="shared" ref="N154:P154" si="82">hundred*N101*$H73*N88/$H45/days_in_year/(1+$H31)*PowerFactor</f>
        <v>0.4613537153519332</v>
      </c>
      <c r="O154" s="98">
        <f t="shared" si="82"/>
        <v>0.438664188367412</v>
      </c>
      <c r="P154" s="98">
        <f t="shared" si="82"/>
        <v>0</v>
      </c>
      <c r="Q154" s="98">
        <f t="shared" ref="Q154:S154" si="83">hundred*Q101*$H73*Q88/$H45/days_in_year/(1+$H31)*PowerFactor</f>
        <v>0.4613537153519332</v>
      </c>
      <c r="R154" s="98">
        <f t="shared" si="83"/>
        <v>0.438664188367412</v>
      </c>
      <c r="S154" s="98">
        <f t="shared" si="83"/>
        <v>0</v>
      </c>
      <c r="T154" s="98">
        <f t="shared" ref="T154" si="84">hundred*T101*$H73*T88/$H45/days_in_year/(1+$H31)*PowerFactor</f>
        <v>0</v>
      </c>
      <c r="U154" s="79"/>
      <c r="V154" s="79"/>
      <c r="W154" s="79"/>
      <c r="X154" s="79"/>
      <c r="Y154" s="79"/>
      <c r="Z154" s="79"/>
      <c r="AA154" s="79"/>
      <c r="AB154" s="79"/>
    </row>
    <row r="155" spans="3:30" x14ac:dyDescent="0.25">
      <c r="C155" s="88"/>
      <c r="F155" t="s">
        <v>198</v>
      </c>
      <c r="G155" t="s">
        <v>270</v>
      </c>
      <c r="J155" s="98">
        <f t="shared" ref="J155:K155" si="85">hundred*J102*$H74*J89/$H46/days_in_year/(1+$H32)*PowerFactor</f>
        <v>0.74020135576371915</v>
      </c>
      <c r="K155" s="98">
        <f t="shared" si="85"/>
        <v>0.74020135576371915</v>
      </c>
      <c r="L155" s="98">
        <f t="shared" ref="L155:M155" si="86">hundred*L102*$H74*L89/$H46/days_in_year/(1+$H32)*PowerFactor</f>
        <v>0.74020135576371915</v>
      </c>
      <c r="M155" s="98">
        <f t="shared" si="86"/>
        <v>0.74020135576371915</v>
      </c>
      <c r="N155" s="98">
        <f t="shared" ref="N155:P155" si="87">hundred*N102*$H74*N89/$H46/days_in_year/(1+$H32)*PowerFactor</f>
        <v>0.74020135576371915</v>
      </c>
      <c r="O155" s="98">
        <f t="shared" si="87"/>
        <v>0</v>
      </c>
      <c r="P155" s="98">
        <f t="shared" si="87"/>
        <v>0</v>
      </c>
      <c r="Q155" s="98">
        <f t="shared" ref="Q155:S155" si="88">hundred*Q102*$H74*Q89/$H46/days_in_year/(1+$H32)*PowerFactor</f>
        <v>0.74020135576371915</v>
      </c>
      <c r="R155" s="98">
        <f t="shared" si="88"/>
        <v>0</v>
      </c>
      <c r="S155" s="98">
        <f t="shared" si="88"/>
        <v>0</v>
      </c>
      <c r="T155" s="98">
        <f t="shared" ref="T155" si="89">hundred*T102*$H74*T89/$H46/days_in_year/(1+$H32)*PowerFactor</f>
        <v>0</v>
      </c>
      <c r="U155" s="79"/>
      <c r="V155" s="79"/>
      <c r="W155" s="79"/>
      <c r="X155" s="79"/>
      <c r="Y155" s="79"/>
      <c r="Z155" s="79"/>
      <c r="AA155" s="79"/>
      <c r="AB155" s="79"/>
    </row>
    <row r="156" spans="3:30" x14ac:dyDescent="0.25">
      <c r="C156" s="88"/>
      <c r="D156"/>
      <c r="F156" t="s">
        <v>375</v>
      </c>
      <c r="G156" t="s">
        <v>270</v>
      </c>
      <c r="J156" s="79"/>
      <c r="K156" s="79"/>
      <c r="L156" s="79"/>
      <c r="M156" s="79"/>
      <c r="N156" s="79"/>
      <c r="O156" s="79"/>
      <c r="P156" s="79"/>
      <c r="Q156" s="79"/>
      <c r="R156" s="79"/>
      <c r="S156" s="79"/>
      <c r="T156" s="79"/>
      <c r="U156" s="79"/>
      <c r="V156" s="79"/>
      <c r="W156" s="79"/>
      <c r="X156" s="79"/>
      <c r="Y156" s="79"/>
      <c r="Z156" s="79"/>
      <c r="AA156" s="79"/>
      <c r="AB156" s="79"/>
    </row>
    <row r="157" spans="3:30" x14ac:dyDescent="0.25">
      <c r="C157" s="88"/>
      <c r="D157"/>
      <c r="F157" s="37" t="s">
        <v>376</v>
      </c>
      <c r="G157" s="37" t="s">
        <v>270</v>
      </c>
      <c r="H157" s="37"/>
      <c r="I157" s="37"/>
      <c r="J157" s="81"/>
      <c r="K157" s="81"/>
      <c r="L157" s="81"/>
      <c r="M157" s="81"/>
      <c r="N157" s="81"/>
      <c r="O157" s="81"/>
      <c r="P157" s="81"/>
      <c r="Q157" s="81"/>
      <c r="R157" s="81"/>
      <c r="S157" s="81"/>
      <c r="T157" s="81"/>
      <c r="U157" s="81"/>
      <c r="V157" s="81"/>
      <c r="W157" s="81"/>
      <c r="X157" s="81"/>
      <c r="Y157" s="81"/>
      <c r="Z157" s="81"/>
      <c r="AA157" s="81"/>
      <c r="AB157" s="81"/>
    </row>
    <row r="158" spans="3:30" x14ac:dyDescent="0.25">
      <c r="C158" s="88"/>
      <c r="J158" s="98"/>
      <c r="K158" s="98"/>
      <c r="L158" s="98"/>
      <c r="M158" s="98"/>
      <c r="N158" s="98"/>
      <c r="O158" s="98"/>
      <c r="P158" s="98"/>
      <c r="Q158" s="98"/>
      <c r="R158" s="98"/>
      <c r="S158" s="98"/>
      <c r="T158" s="98"/>
      <c r="U158" s="98"/>
      <c r="V158" s="98"/>
      <c r="W158" s="98"/>
      <c r="X158" s="98"/>
      <c r="Y158" s="98"/>
      <c r="Z158" s="98"/>
      <c r="AA158" s="98"/>
      <c r="AB158" s="98"/>
    </row>
    <row r="159" spans="3:30" x14ac:dyDescent="0.25">
      <c r="C159" s="31" t="str">
        <f ca="1">INDEX('Version control'!$H$34:$H$57,MATCH($A$1,'Version control'!$F$34:$F$57,0),1)&amp;"-C: Exceeded capacity-based charge elements"</f>
        <v>Section 113-C: Exceeded capacity-based charge elements</v>
      </c>
      <c r="D159" s="31"/>
      <c r="E159" s="31"/>
      <c r="F159" s="31"/>
      <c r="G159" s="31"/>
      <c r="H159" s="31"/>
      <c r="I159" s="31"/>
      <c r="J159" s="90"/>
      <c r="K159" s="90"/>
      <c r="L159" s="90"/>
      <c r="M159" s="90"/>
      <c r="N159" s="90"/>
      <c r="O159" s="90"/>
      <c r="P159" s="90"/>
      <c r="Q159" s="90"/>
      <c r="R159" s="90"/>
      <c r="S159" s="90"/>
      <c r="T159" s="90"/>
      <c r="U159" s="90"/>
      <c r="V159" s="90"/>
      <c r="W159" s="90"/>
      <c r="X159" s="90"/>
      <c r="Y159" s="90"/>
      <c r="Z159" s="90"/>
      <c r="AA159" s="90"/>
      <c r="AB159" s="90"/>
      <c r="AC159" s="31"/>
      <c r="AD159" s="31"/>
    </row>
    <row r="160" spans="3:30" x14ac:dyDescent="0.25">
      <c r="J160" s="89"/>
      <c r="K160" s="89"/>
      <c r="L160" s="89"/>
      <c r="M160" s="89"/>
      <c r="N160" s="89"/>
      <c r="O160" s="89"/>
      <c r="P160" s="89"/>
      <c r="Q160" s="89"/>
      <c r="R160" s="89"/>
      <c r="S160" s="89"/>
      <c r="T160" s="89"/>
      <c r="U160" s="89"/>
      <c r="V160" s="89"/>
      <c r="W160" s="89"/>
      <c r="X160" s="89"/>
      <c r="Y160" s="89"/>
      <c r="Z160" s="89"/>
      <c r="AA160" s="89"/>
      <c r="AB160" s="89"/>
    </row>
    <row r="161" spans="3:28" x14ac:dyDescent="0.25">
      <c r="C161" s="88"/>
      <c r="E161" s="32" t="s">
        <v>620</v>
      </c>
      <c r="J161" s="89"/>
      <c r="K161" s="89"/>
      <c r="L161" s="89"/>
      <c r="M161" s="89"/>
      <c r="N161" s="89"/>
      <c r="O161" s="89"/>
      <c r="P161" s="89"/>
      <c r="Q161" s="89"/>
      <c r="R161" s="89"/>
      <c r="S161" s="89"/>
      <c r="T161" s="89"/>
      <c r="U161" s="89"/>
      <c r="V161" s="89"/>
      <c r="W161" s="89"/>
      <c r="X161" s="89"/>
      <c r="Y161" s="89"/>
      <c r="Z161" s="89"/>
      <c r="AA161" s="89"/>
      <c r="AB161" s="89"/>
    </row>
    <row r="162" spans="3:28" x14ac:dyDescent="0.25">
      <c r="C162" s="88"/>
      <c r="F162" s="23" t="s">
        <v>188</v>
      </c>
      <c r="G162" s="23" t="s">
        <v>270</v>
      </c>
      <c r="H162" s="23"/>
      <c r="I162" s="23"/>
      <c r="J162" s="83"/>
      <c r="K162" s="83"/>
      <c r="L162" s="83"/>
      <c r="M162" s="83"/>
      <c r="N162" s="83"/>
      <c r="O162" s="83"/>
      <c r="P162" s="83"/>
      <c r="Q162" s="83"/>
      <c r="R162" s="83"/>
      <c r="S162" s="83"/>
      <c r="T162" s="83"/>
      <c r="U162" s="83"/>
      <c r="V162" s="83"/>
      <c r="W162" s="83"/>
      <c r="X162" s="83"/>
      <c r="Y162" s="83"/>
      <c r="Z162" s="83"/>
      <c r="AA162" s="83"/>
      <c r="AB162" s="83"/>
    </row>
    <row r="163" spans="3:28" x14ac:dyDescent="0.25">
      <c r="C163" s="88"/>
      <c r="F163" t="s">
        <v>190</v>
      </c>
      <c r="G163" t="s">
        <v>270</v>
      </c>
      <c r="J163" s="79"/>
      <c r="K163" s="79"/>
      <c r="L163" s="79"/>
      <c r="M163" s="79"/>
      <c r="N163" s="79"/>
      <c r="O163" s="79"/>
      <c r="P163" s="79"/>
      <c r="Q163" s="79"/>
      <c r="R163" s="79"/>
      <c r="S163" s="79"/>
      <c r="T163" s="79"/>
      <c r="U163" s="79"/>
      <c r="V163" s="79"/>
      <c r="W163" s="79"/>
      <c r="X163" s="79"/>
      <c r="Y163" s="79"/>
      <c r="Z163" s="79"/>
      <c r="AA163" s="79"/>
      <c r="AB163" s="79"/>
    </row>
    <row r="164" spans="3:28" x14ac:dyDescent="0.25">
      <c r="C164" s="88"/>
      <c r="F164" t="s">
        <v>191</v>
      </c>
      <c r="G164" t="s">
        <v>270</v>
      </c>
      <c r="J164" s="98">
        <f t="shared" ref="J164:K164" si="90">hundred*J95*$H53*J82/$H39/days_in_year/(1+$H25)*PowerFactor</f>
        <v>0</v>
      </c>
      <c r="K164" s="98">
        <f t="shared" si="90"/>
        <v>0</v>
      </c>
      <c r="L164" s="98">
        <f t="shared" ref="L164:M164" si="91">hundred*L95*$H53*L82/$H39/days_in_year/(1+$H25)*PowerFactor</f>
        <v>0</v>
      </c>
      <c r="M164" s="98">
        <f t="shared" si="91"/>
        <v>0</v>
      </c>
      <c r="N164" s="98">
        <f t="shared" ref="N164:P164" si="92">hundred*N95*$H53*N82/$H39/days_in_year/(1+$H25)*PowerFactor</f>
        <v>0</v>
      </c>
      <c r="O164" s="98">
        <f t="shared" si="92"/>
        <v>0</v>
      </c>
      <c r="P164" s="98">
        <f t="shared" si="92"/>
        <v>0</v>
      </c>
      <c r="Q164" s="98">
        <f t="shared" ref="Q164:S164" si="93">hundred*Q95*$H53*Q82/$H39/days_in_year/(1+$H25)*PowerFactor</f>
        <v>0</v>
      </c>
      <c r="R164" s="98">
        <f t="shared" si="93"/>
        <v>0</v>
      </c>
      <c r="S164" s="98">
        <f t="shared" si="93"/>
        <v>0</v>
      </c>
      <c r="T164" s="98">
        <f t="shared" ref="T164" si="94">hundred*T95*$H53*T82/$H39/days_in_year/(1+$H25)*PowerFactor</f>
        <v>0</v>
      </c>
      <c r="U164" s="79"/>
      <c r="V164" s="79"/>
      <c r="W164" s="79"/>
      <c r="X164" s="79"/>
      <c r="Y164" s="79"/>
      <c r="Z164" s="79"/>
      <c r="AA164" s="79"/>
      <c r="AB164" s="79"/>
    </row>
    <row r="165" spans="3:28" x14ac:dyDescent="0.25">
      <c r="C165" s="88"/>
      <c r="F165" t="s">
        <v>192</v>
      </c>
      <c r="G165" t="s">
        <v>270</v>
      </c>
      <c r="J165" s="98">
        <f t="shared" ref="J165:K165" si="95">hundred*J96*$H54*J83/$H40/days_in_year/(1+$H26)*PowerFactor</f>
        <v>0</v>
      </c>
      <c r="K165" s="98">
        <f t="shared" si="95"/>
        <v>0</v>
      </c>
      <c r="L165" s="98">
        <f t="shared" ref="L165:M165" si="96">hundred*L96*$H54*L83/$H40/days_in_year/(1+$H26)*PowerFactor</f>
        <v>0</v>
      </c>
      <c r="M165" s="98">
        <f t="shared" si="96"/>
        <v>0</v>
      </c>
      <c r="N165" s="98">
        <f t="shared" ref="N165:P165" si="97">hundred*N96*$H54*N83/$H40/days_in_year/(1+$H26)*PowerFactor</f>
        <v>0</v>
      </c>
      <c r="O165" s="98">
        <f t="shared" si="97"/>
        <v>0</v>
      </c>
      <c r="P165" s="98">
        <f t="shared" si="97"/>
        <v>0</v>
      </c>
      <c r="Q165" s="98">
        <f t="shared" ref="Q165:S165" si="98">hundred*Q96*$H54*Q83/$H40/days_in_year/(1+$H26)*PowerFactor</f>
        <v>0</v>
      </c>
      <c r="R165" s="98">
        <f t="shared" si="98"/>
        <v>0</v>
      </c>
      <c r="S165" s="98">
        <f t="shared" si="98"/>
        <v>0</v>
      </c>
      <c r="T165" s="98">
        <f t="shared" ref="T165" si="99">hundred*T96*$H54*T83/$H40/days_in_year/(1+$H26)*PowerFactor</f>
        <v>0</v>
      </c>
      <c r="U165" s="79"/>
      <c r="V165" s="79"/>
      <c r="W165" s="79"/>
      <c r="X165" s="79"/>
      <c r="Y165" s="79"/>
      <c r="Z165" s="79"/>
      <c r="AA165" s="79"/>
      <c r="AB165" s="79"/>
    </row>
    <row r="166" spans="3:28" x14ac:dyDescent="0.25">
      <c r="C166" s="88"/>
      <c r="F166" t="s">
        <v>193</v>
      </c>
      <c r="G166" t="s">
        <v>270</v>
      </c>
      <c r="J166" s="98">
        <f t="shared" ref="J166:K166" si="100">hundred*J97*$H55*J84/$H41/days_in_year/(1+$H27)*PowerFactor</f>
        <v>0</v>
      </c>
      <c r="K166" s="98">
        <f t="shared" si="100"/>
        <v>0</v>
      </c>
      <c r="L166" s="98">
        <f t="shared" ref="L166:M166" si="101">hundred*L97*$H55*L84/$H41/days_in_year/(1+$H27)*PowerFactor</f>
        <v>0</v>
      </c>
      <c r="M166" s="98">
        <f t="shared" si="101"/>
        <v>0</v>
      </c>
      <c r="N166" s="98">
        <f t="shared" ref="N166:P166" si="102">hundred*N97*$H55*N84/$H41/days_in_year/(1+$H27)*PowerFactor</f>
        <v>0</v>
      </c>
      <c r="O166" s="98">
        <f t="shared" si="102"/>
        <v>0</v>
      </c>
      <c r="P166" s="98">
        <f t="shared" si="102"/>
        <v>0.52635555472228934</v>
      </c>
      <c r="Q166" s="98">
        <f t="shared" ref="Q166:S166" si="103">hundred*Q97*$H55*Q84/$H41/days_in_year/(1+$H27)*PowerFactor</f>
        <v>0</v>
      </c>
      <c r="R166" s="98">
        <f t="shared" si="103"/>
        <v>0</v>
      </c>
      <c r="S166" s="98">
        <f t="shared" si="103"/>
        <v>0.52635555472228934</v>
      </c>
      <c r="T166" s="98">
        <f t="shared" ref="T166" si="104">hundred*T97*$H55*T84/$H41/days_in_year/(1+$H27)*PowerFactor</f>
        <v>0</v>
      </c>
      <c r="U166" s="79"/>
      <c r="V166" s="79"/>
      <c r="W166" s="79"/>
      <c r="X166" s="79"/>
      <c r="Y166" s="79"/>
      <c r="Z166" s="79"/>
      <c r="AA166" s="79"/>
      <c r="AB166" s="79"/>
    </row>
    <row r="167" spans="3:28" x14ac:dyDescent="0.25">
      <c r="C167" s="88"/>
      <c r="F167" t="s">
        <v>194</v>
      </c>
      <c r="G167" t="s">
        <v>270</v>
      </c>
      <c r="J167" s="98">
        <f t="shared" ref="J167:K167" si="105">hundred*J98*$H56*J85/$H42/days_in_year/(1+$H28)*PowerFactor</f>
        <v>0</v>
      </c>
      <c r="K167" s="98">
        <f t="shared" si="105"/>
        <v>0</v>
      </c>
      <c r="L167" s="98">
        <f t="shared" ref="L167:M167" si="106">hundred*L98*$H56*L85/$H42/days_in_year/(1+$H28)*PowerFactor</f>
        <v>0</v>
      </c>
      <c r="M167" s="98">
        <f t="shared" si="106"/>
        <v>0</v>
      </c>
      <c r="N167" s="98">
        <f t="shared" ref="N167:P167" si="107">hundred*N98*$H56*N85/$H42/days_in_year/(1+$H28)*PowerFactor</f>
        <v>0</v>
      </c>
      <c r="O167" s="98">
        <f t="shared" si="107"/>
        <v>0</v>
      </c>
      <c r="P167" s="98">
        <f t="shared" si="107"/>
        <v>0.67437966737819066</v>
      </c>
      <c r="Q167" s="98">
        <f t="shared" ref="Q167:S167" si="108">hundred*Q98*$H56*Q85/$H42/days_in_year/(1+$H28)*PowerFactor</f>
        <v>0</v>
      </c>
      <c r="R167" s="98">
        <f t="shared" si="108"/>
        <v>0</v>
      </c>
      <c r="S167" s="98">
        <f t="shared" si="108"/>
        <v>0.67437966737819066</v>
      </c>
      <c r="T167" s="98">
        <f t="shared" ref="T167" si="109">hundred*T98*$H56*T85/$H42/days_in_year/(1+$H28)*PowerFactor</f>
        <v>0</v>
      </c>
      <c r="U167" s="79"/>
      <c r="V167" s="79"/>
      <c r="W167" s="79"/>
      <c r="X167" s="79"/>
      <c r="Y167" s="79"/>
      <c r="Z167" s="79"/>
      <c r="AA167" s="79"/>
      <c r="AB167" s="79"/>
    </row>
    <row r="168" spans="3:28" x14ac:dyDescent="0.25">
      <c r="C168" s="88"/>
      <c r="F168" t="s">
        <v>195</v>
      </c>
      <c r="G168" t="s">
        <v>270</v>
      </c>
      <c r="J168" s="98">
        <f t="shared" ref="J168:K168" si="110">hundred*J99*$H57*J86/$H43/days_in_year/(1+$H29)*PowerFactor</f>
        <v>0</v>
      </c>
      <c r="K168" s="98">
        <f t="shared" si="110"/>
        <v>0</v>
      </c>
      <c r="L168" s="98">
        <f t="shared" ref="L168:M168" si="111">hundred*L99*$H57*L86/$H43/days_in_year/(1+$H29)*PowerFactor</f>
        <v>0</v>
      </c>
      <c r="M168" s="98">
        <f t="shared" si="111"/>
        <v>0</v>
      </c>
      <c r="N168" s="98">
        <f t="shared" ref="N168:P168" si="112">hundred*N99*$H57*N86/$H43/days_in_year/(1+$H29)*PowerFactor</f>
        <v>0</v>
      </c>
      <c r="O168" s="98">
        <f t="shared" si="112"/>
        <v>0</v>
      </c>
      <c r="P168" s="98">
        <f t="shared" si="112"/>
        <v>0</v>
      </c>
      <c r="Q168" s="98">
        <f t="shared" ref="Q168:S168" si="113">hundred*Q99*$H57*Q86/$H43/days_in_year/(1+$H29)*PowerFactor</f>
        <v>0</v>
      </c>
      <c r="R168" s="98">
        <f t="shared" si="113"/>
        <v>0</v>
      </c>
      <c r="S168" s="98">
        <f t="shared" si="113"/>
        <v>0</v>
      </c>
      <c r="T168" s="98">
        <f t="shared" ref="T168" si="114">hundred*T99*$H57*T86/$H43/days_in_year/(1+$H29)*PowerFactor</f>
        <v>0</v>
      </c>
      <c r="U168" s="79"/>
      <c r="V168" s="79"/>
      <c r="W168" s="79"/>
      <c r="X168" s="79"/>
      <c r="Y168" s="79"/>
      <c r="Z168" s="79"/>
      <c r="AA168" s="79"/>
      <c r="AB168" s="79"/>
    </row>
    <row r="169" spans="3:28" x14ac:dyDescent="0.25">
      <c r="C169" s="88"/>
      <c r="F169" t="s">
        <v>196</v>
      </c>
      <c r="G169" t="s">
        <v>270</v>
      </c>
      <c r="J169" s="98">
        <f t="shared" ref="J169:K169" si="115">hundred*J100*$H58*J87/$H44/days_in_year/(1+$H30)*PowerFactor</f>
        <v>0</v>
      </c>
      <c r="K169" s="98">
        <f t="shared" si="115"/>
        <v>0</v>
      </c>
      <c r="L169" s="98">
        <f t="shared" ref="L169:M169" si="116">hundred*L100*$H58*L87/$H44/days_in_year/(1+$H30)*PowerFactor</f>
        <v>0</v>
      </c>
      <c r="M169" s="98">
        <f t="shared" si="116"/>
        <v>0</v>
      </c>
      <c r="N169" s="98">
        <f t="shared" ref="N169:P169" si="117">hundred*N100*$H58*N87/$H44/days_in_year/(1+$H30)*PowerFactor</f>
        <v>0.49676691512356835</v>
      </c>
      <c r="O169" s="98">
        <f t="shared" si="117"/>
        <v>2.3616787768169649</v>
      </c>
      <c r="P169" s="98">
        <f t="shared" si="117"/>
        <v>2.3209601772166724</v>
      </c>
      <c r="Q169" s="98">
        <f t="shared" ref="Q169:S169" si="118">hundred*Q100*$H58*Q87/$H44/days_in_year/(1+$H30)*PowerFactor</f>
        <v>0.49676691512356835</v>
      </c>
      <c r="R169" s="98">
        <f t="shared" si="118"/>
        <v>2.3616787768169649</v>
      </c>
      <c r="S169" s="98">
        <f t="shared" si="118"/>
        <v>2.3209601772166724</v>
      </c>
      <c r="T169" s="98">
        <f t="shared" ref="T169" si="119">hundred*T100*$H58*T87/$H44/days_in_year/(1+$H30)*PowerFactor</f>
        <v>0</v>
      </c>
      <c r="U169" s="79"/>
      <c r="V169" s="79"/>
      <c r="W169" s="79"/>
      <c r="X169" s="79"/>
      <c r="Y169" s="79"/>
      <c r="Z169" s="79"/>
      <c r="AA169" s="79"/>
      <c r="AB169" s="79"/>
    </row>
    <row r="170" spans="3:28" x14ac:dyDescent="0.25">
      <c r="C170" s="88"/>
      <c r="F170" t="s">
        <v>197</v>
      </c>
      <c r="G170" t="s">
        <v>270</v>
      </c>
      <c r="J170" s="98">
        <f t="shared" ref="J170:K170" si="120">hundred*J101*$H59*J88/$H45/days_in_year/(1+$H31)*PowerFactor</f>
        <v>0</v>
      </c>
      <c r="K170" s="98">
        <f t="shared" si="120"/>
        <v>0</v>
      </c>
      <c r="L170" s="98">
        <f t="shared" ref="L170:M170" si="121">hundred*L101*$H59*L88/$H45/days_in_year/(1+$H31)*PowerFactor</f>
        <v>0</v>
      </c>
      <c r="M170" s="98">
        <f t="shared" si="121"/>
        <v>0</v>
      </c>
      <c r="N170" s="98">
        <f t="shared" ref="N170:P170" si="122">hundred*N101*$H59*N88/$H45/days_in_year/(1+$H31)*PowerFactor</f>
        <v>0.62425795968549891</v>
      </c>
      <c r="O170" s="98">
        <f t="shared" si="122"/>
        <v>0.59355674855342522</v>
      </c>
      <c r="P170" s="98">
        <f t="shared" si="122"/>
        <v>0</v>
      </c>
      <c r="Q170" s="98">
        <f t="shared" ref="Q170:S170" si="123">hundred*Q101*$H59*Q88/$H45/days_in_year/(1+$H31)*PowerFactor</f>
        <v>0.62425795968549891</v>
      </c>
      <c r="R170" s="98">
        <f t="shared" si="123"/>
        <v>0.59355674855342522</v>
      </c>
      <c r="S170" s="98">
        <f t="shared" si="123"/>
        <v>0</v>
      </c>
      <c r="T170" s="98">
        <f t="shared" ref="T170" si="124">hundred*T101*$H59*T88/$H45/days_in_year/(1+$H31)*PowerFactor</f>
        <v>0</v>
      </c>
      <c r="U170" s="79"/>
      <c r="V170" s="79"/>
      <c r="W170" s="79"/>
      <c r="X170" s="79"/>
      <c r="Y170" s="79"/>
      <c r="Z170" s="79"/>
      <c r="AA170" s="79"/>
      <c r="AB170" s="79"/>
    </row>
    <row r="171" spans="3:28" x14ac:dyDescent="0.25">
      <c r="C171" s="88"/>
      <c r="F171" t="s">
        <v>198</v>
      </c>
      <c r="G171" t="s">
        <v>270</v>
      </c>
      <c r="J171" s="98">
        <f t="shared" ref="J171:K171" si="125">hundred*J102*$H60*J89/$H46/days_in_year/(1+$H32)*PowerFactor</f>
        <v>1.0015668514840392</v>
      </c>
      <c r="K171" s="98">
        <f t="shared" si="125"/>
        <v>1.0015668514840392</v>
      </c>
      <c r="L171" s="98">
        <f t="shared" ref="L171:M171" si="126">hundred*L102*$H60*L89/$H46/days_in_year/(1+$H32)*PowerFactor</f>
        <v>1.0015668514840392</v>
      </c>
      <c r="M171" s="98">
        <f t="shared" si="126"/>
        <v>1.0015668514840392</v>
      </c>
      <c r="N171" s="98">
        <f t="shared" ref="N171:P171" si="127">hundred*N102*$H60*N89/$H46/days_in_year/(1+$H32)*PowerFactor</f>
        <v>1.0015668514840392</v>
      </c>
      <c r="O171" s="98">
        <f t="shared" si="127"/>
        <v>0</v>
      </c>
      <c r="P171" s="98">
        <f t="shared" si="127"/>
        <v>0</v>
      </c>
      <c r="Q171" s="98">
        <f t="shared" ref="Q171:S171" si="128">hundred*Q102*$H60*Q89/$H46/days_in_year/(1+$H32)*PowerFactor</f>
        <v>1.0015668514840392</v>
      </c>
      <c r="R171" s="98">
        <f t="shared" si="128"/>
        <v>0</v>
      </c>
      <c r="S171" s="98">
        <f t="shared" si="128"/>
        <v>0</v>
      </c>
      <c r="T171" s="98">
        <f t="shared" ref="T171" si="129">hundred*T102*$H60*T89/$H46/days_in_year/(1+$H32)*PowerFactor</f>
        <v>0</v>
      </c>
      <c r="U171" s="79"/>
      <c r="V171" s="79"/>
      <c r="W171" s="79"/>
      <c r="X171" s="79"/>
      <c r="Y171" s="79"/>
      <c r="Z171" s="79"/>
      <c r="AA171" s="79"/>
      <c r="AB171" s="79"/>
    </row>
    <row r="172" spans="3:28" x14ac:dyDescent="0.25">
      <c r="C172" s="88"/>
      <c r="F172" t="s">
        <v>375</v>
      </c>
      <c r="G172" t="s">
        <v>270</v>
      </c>
      <c r="J172" s="79"/>
      <c r="K172" s="79"/>
      <c r="L172" s="79"/>
      <c r="M172" s="79"/>
      <c r="N172" s="79"/>
      <c r="O172" s="79"/>
      <c r="P172" s="79"/>
      <c r="Q172" s="79"/>
      <c r="R172" s="79"/>
      <c r="S172" s="79"/>
      <c r="T172" s="79"/>
      <c r="U172" s="79"/>
      <c r="V172" s="79"/>
      <c r="W172" s="79"/>
      <c r="X172" s="79"/>
      <c r="Y172" s="79"/>
      <c r="Z172" s="79"/>
      <c r="AA172" s="79"/>
      <c r="AB172" s="79"/>
    </row>
    <row r="173" spans="3:28" x14ac:dyDescent="0.25">
      <c r="C173" s="88"/>
      <c r="F173" s="37" t="s">
        <v>376</v>
      </c>
      <c r="G173" s="37" t="s">
        <v>270</v>
      </c>
      <c r="H173" s="37"/>
      <c r="I173" s="37"/>
      <c r="J173" s="81"/>
      <c r="K173" s="81"/>
      <c r="L173" s="81"/>
      <c r="M173" s="81"/>
      <c r="N173" s="81"/>
      <c r="O173" s="81"/>
      <c r="P173" s="81"/>
      <c r="Q173" s="81"/>
      <c r="R173" s="81"/>
      <c r="S173" s="81"/>
      <c r="T173" s="81"/>
      <c r="U173" s="81"/>
      <c r="V173" s="81"/>
      <c r="W173" s="81"/>
      <c r="X173" s="81"/>
      <c r="Y173" s="81"/>
      <c r="Z173" s="81"/>
      <c r="AA173" s="81"/>
      <c r="AB173" s="81"/>
    </row>
    <row r="174" spans="3:28" x14ac:dyDescent="0.25">
      <c r="C174" s="88"/>
      <c r="D174"/>
      <c r="J174" s="89"/>
      <c r="K174" s="89"/>
      <c r="L174" s="89"/>
      <c r="M174" s="89"/>
      <c r="N174" s="89"/>
      <c r="O174" s="89"/>
      <c r="P174" s="89"/>
      <c r="Q174" s="89"/>
      <c r="R174" s="89"/>
      <c r="S174" s="89"/>
      <c r="T174" s="89"/>
      <c r="U174" s="89"/>
      <c r="V174" s="89"/>
      <c r="W174" s="89"/>
      <c r="X174" s="89"/>
      <c r="Y174" s="89"/>
      <c r="Z174" s="89"/>
      <c r="AA174" s="89"/>
      <c r="AB174" s="89"/>
    </row>
    <row r="175" spans="3:28" x14ac:dyDescent="0.25">
      <c r="C175" s="88"/>
      <c r="E175" s="32" t="s">
        <v>621</v>
      </c>
      <c r="J175" s="89"/>
      <c r="K175" s="89"/>
      <c r="L175" s="89"/>
      <c r="M175" s="89"/>
      <c r="N175" s="89"/>
      <c r="O175" s="89"/>
      <c r="P175" s="89"/>
      <c r="Q175" s="89"/>
      <c r="R175" s="89"/>
      <c r="S175" s="89"/>
      <c r="T175" s="89"/>
      <c r="U175" s="89"/>
      <c r="V175" s="89"/>
      <c r="W175" s="89"/>
      <c r="X175" s="89"/>
      <c r="Y175" s="89"/>
      <c r="Z175" s="89"/>
      <c r="AA175" s="89"/>
      <c r="AB175" s="89"/>
    </row>
    <row r="176" spans="3:28" x14ac:dyDescent="0.25">
      <c r="C176" s="88"/>
      <c r="F176" s="23" t="s">
        <v>188</v>
      </c>
      <c r="G176" s="23" t="s">
        <v>270</v>
      </c>
      <c r="H176" s="23"/>
      <c r="I176" s="23"/>
      <c r="J176" s="126">
        <f t="shared" ref="J176:K176" si="130">hundred*J94*$H65*J80/$H37/days_in_year/(1+$H23)*PowerFactor</f>
        <v>0</v>
      </c>
      <c r="K176" s="126">
        <f t="shared" si="130"/>
        <v>0</v>
      </c>
      <c r="L176" s="126">
        <f t="shared" ref="L176:M176" si="131">hundred*L94*$H65*L80/$H37/days_in_year/(1+$H23)*PowerFactor</f>
        <v>0</v>
      </c>
      <c r="M176" s="126">
        <f t="shared" si="131"/>
        <v>0</v>
      </c>
      <c r="N176" s="126">
        <f t="shared" ref="N176:P176" si="132">hundred*N94*$H65*N80/$H37/days_in_year/(1+$H23)*PowerFactor</f>
        <v>0</v>
      </c>
      <c r="O176" s="126">
        <f t="shared" si="132"/>
        <v>0</v>
      </c>
      <c r="P176" s="126">
        <f t="shared" si="132"/>
        <v>0</v>
      </c>
      <c r="Q176" s="126">
        <f t="shared" ref="Q176:S176" si="133">hundred*Q94*$H65*Q80/$H37/days_in_year/(1+$H23)*PowerFactor</f>
        <v>0</v>
      </c>
      <c r="R176" s="126">
        <f t="shared" si="133"/>
        <v>0</v>
      </c>
      <c r="S176" s="126">
        <f t="shared" si="133"/>
        <v>0</v>
      </c>
      <c r="T176" s="126">
        <f t="shared" ref="T176" si="134">hundred*T94*$H65*T80/$H37/days_in_year/(1+$H23)*PowerFactor</f>
        <v>0</v>
      </c>
      <c r="U176" s="83"/>
      <c r="V176" s="83"/>
      <c r="W176" s="83"/>
      <c r="X176" s="83"/>
      <c r="Y176" s="83"/>
      <c r="Z176" s="83"/>
      <c r="AA176" s="83"/>
      <c r="AB176" s="83"/>
    </row>
    <row r="177" spans="3:30" x14ac:dyDescent="0.25">
      <c r="C177" s="88"/>
      <c r="F177" t="s">
        <v>190</v>
      </c>
      <c r="G177" t="s">
        <v>270</v>
      </c>
      <c r="J177" s="98">
        <f t="shared" ref="J177:K177" si="135">hundred*J94*$H66*J81/$H38/days_in_year/(1+$H24)*PowerFactor</f>
        <v>0</v>
      </c>
      <c r="K177" s="98">
        <f t="shared" si="135"/>
        <v>0</v>
      </c>
      <c r="L177" s="98">
        <f t="shared" ref="L177:M177" si="136">hundred*L94*$H66*L81/$H38/days_in_year/(1+$H24)*PowerFactor</f>
        <v>0</v>
      </c>
      <c r="M177" s="98">
        <f t="shared" si="136"/>
        <v>0</v>
      </c>
      <c r="N177" s="98">
        <f t="shared" ref="N177:P177" si="137">hundred*N94*$H66*N81/$H38/days_in_year/(1+$H24)*PowerFactor</f>
        <v>0</v>
      </c>
      <c r="O177" s="98">
        <f t="shared" si="137"/>
        <v>0</v>
      </c>
      <c r="P177" s="98">
        <f t="shared" si="137"/>
        <v>0</v>
      </c>
      <c r="Q177" s="98">
        <f t="shared" ref="Q177:S177" si="138">hundred*Q94*$H66*Q81/$H38/days_in_year/(1+$H24)*PowerFactor</f>
        <v>0</v>
      </c>
      <c r="R177" s="98">
        <f t="shared" si="138"/>
        <v>0</v>
      </c>
      <c r="S177" s="98">
        <f t="shared" si="138"/>
        <v>0</v>
      </c>
      <c r="T177" s="98">
        <f t="shared" ref="T177" si="139">hundred*T94*$H66*T81/$H38/days_in_year/(1+$H24)*PowerFactor</f>
        <v>0</v>
      </c>
      <c r="U177" s="79"/>
      <c r="V177" s="79"/>
      <c r="W177" s="79"/>
      <c r="X177" s="79"/>
      <c r="Y177" s="79"/>
      <c r="Z177" s="79"/>
      <c r="AA177" s="79"/>
      <c r="AB177" s="79"/>
    </row>
    <row r="178" spans="3:30" x14ac:dyDescent="0.25">
      <c r="C178" s="88"/>
      <c r="F178" t="s">
        <v>191</v>
      </c>
      <c r="G178" t="s">
        <v>270</v>
      </c>
      <c r="J178" s="98">
        <f t="shared" ref="J178:K178" si="140">hundred*J95*$H67*J82/$H39/days_in_year/(1+$H25)*PowerFactor</f>
        <v>0</v>
      </c>
      <c r="K178" s="98">
        <f t="shared" si="140"/>
        <v>0</v>
      </c>
      <c r="L178" s="98">
        <f t="shared" ref="L178:M178" si="141">hundred*L95*$H67*L82/$H39/days_in_year/(1+$H25)*PowerFactor</f>
        <v>0</v>
      </c>
      <c r="M178" s="98">
        <f t="shared" si="141"/>
        <v>0</v>
      </c>
      <c r="N178" s="98">
        <f t="shared" ref="N178:P178" si="142">hundred*N95*$H67*N82/$H39/days_in_year/(1+$H25)*PowerFactor</f>
        <v>0</v>
      </c>
      <c r="O178" s="98">
        <f t="shared" si="142"/>
        <v>0</v>
      </c>
      <c r="P178" s="98">
        <f t="shared" si="142"/>
        <v>0</v>
      </c>
      <c r="Q178" s="98">
        <f t="shared" ref="Q178:S178" si="143">hundred*Q95*$H67*Q82/$H39/days_in_year/(1+$H25)*PowerFactor</f>
        <v>0</v>
      </c>
      <c r="R178" s="98">
        <f t="shared" si="143"/>
        <v>0</v>
      </c>
      <c r="S178" s="98">
        <f t="shared" si="143"/>
        <v>0</v>
      </c>
      <c r="T178" s="98">
        <f t="shared" ref="T178" si="144">hundred*T95*$H67*T82/$H39/days_in_year/(1+$H25)*PowerFactor</f>
        <v>0</v>
      </c>
      <c r="U178" s="79"/>
      <c r="V178" s="79"/>
      <c r="W178" s="79"/>
      <c r="X178" s="79"/>
      <c r="Y178" s="79"/>
      <c r="Z178" s="79"/>
      <c r="AA178" s="79"/>
      <c r="AB178" s="79"/>
    </row>
    <row r="179" spans="3:30" x14ac:dyDescent="0.25">
      <c r="C179" s="88"/>
      <c r="F179" t="s">
        <v>192</v>
      </c>
      <c r="G179" t="s">
        <v>270</v>
      </c>
      <c r="J179" s="98">
        <f t="shared" ref="J179:K179" si="145">hundred*J96*$H68*J83/$H40/days_in_year/(1+$H26)*PowerFactor</f>
        <v>0</v>
      </c>
      <c r="K179" s="98">
        <f t="shared" si="145"/>
        <v>0</v>
      </c>
      <c r="L179" s="98">
        <f t="shared" ref="L179:M179" si="146">hundred*L96*$H68*L83/$H40/days_in_year/(1+$H26)*PowerFactor</f>
        <v>0</v>
      </c>
      <c r="M179" s="98">
        <f t="shared" si="146"/>
        <v>0</v>
      </c>
      <c r="N179" s="98">
        <f t="shared" ref="N179:P179" si="147">hundred*N96*$H68*N83/$H40/days_in_year/(1+$H26)*PowerFactor</f>
        <v>0</v>
      </c>
      <c r="O179" s="98">
        <f t="shared" si="147"/>
        <v>0</v>
      </c>
      <c r="P179" s="98">
        <f t="shared" si="147"/>
        <v>0</v>
      </c>
      <c r="Q179" s="98">
        <f t="shared" ref="Q179:S179" si="148">hundred*Q96*$H68*Q83/$H40/days_in_year/(1+$H26)*PowerFactor</f>
        <v>0</v>
      </c>
      <c r="R179" s="98">
        <f t="shared" si="148"/>
        <v>0</v>
      </c>
      <c r="S179" s="98">
        <f t="shared" si="148"/>
        <v>0</v>
      </c>
      <c r="T179" s="98">
        <f t="shared" ref="T179" si="149">hundred*T96*$H68*T83/$H40/days_in_year/(1+$H26)*PowerFactor</f>
        <v>0</v>
      </c>
      <c r="U179" s="79"/>
      <c r="V179" s="79"/>
      <c r="W179" s="79"/>
      <c r="X179" s="79"/>
      <c r="Y179" s="79"/>
      <c r="Z179" s="79"/>
      <c r="AA179" s="79"/>
      <c r="AB179" s="79"/>
    </row>
    <row r="180" spans="3:30" x14ac:dyDescent="0.25">
      <c r="C180" s="88"/>
      <c r="F180" t="s">
        <v>193</v>
      </c>
      <c r="G180" t="s">
        <v>270</v>
      </c>
      <c r="J180" s="98">
        <f t="shared" ref="J180:K180" si="150">hundred*J97*$H69*J84/$H41/days_in_year/(1+$H27)*PowerFactor</f>
        <v>0</v>
      </c>
      <c r="K180" s="98">
        <f t="shared" si="150"/>
        <v>0</v>
      </c>
      <c r="L180" s="98">
        <f t="shared" ref="L180:M180" si="151">hundred*L97*$H69*L84/$H41/days_in_year/(1+$H27)*PowerFactor</f>
        <v>0</v>
      </c>
      <c r="M180" s="98">
        <f t="shared" si="151"/>
        <v>0</v>
      </c>
      <c r="N180" s="98">
        <f t="shared" ref="N180:P180" si="152">hundred*N97*$H69*N84/$H41/days_in_year/(1+$H27)*PowerFactor</f>
        <v>0</v>
      </c>
      <c r="O180" s="98">
        <f t="shared" si="152"/>
        <v>0</v>
      </c>
      <c r="P180" s="98">
        <f t="shared" si="152"/>
        <v>0.38899959063332851</v>
      </c>
      <c r="Q180" s="98">
        <f t="shared" ref="Q180:S180" si="153">hundred*Q97*$H69*Q84/$H41/days_in_year/(1+$H27)*PowerFactor</f>
        <v>0</v>
      </c>
      <c r="R180" s="98">
        <f t="shared" si="153"/>
        <v>0</v>
      </c>
      <c r="S180" s="98">
        <f t="shared" si="153"/>
        <v>0.38899959063332851</v>
      </c>
      <c r="T180" s="98">
        <f t="shared" ref="T180" si="154">hundred*T97*$H69*T84/$H41/days_in_year/(1+$H27)*PowerFactor</f>
        <v>0</v>
      </c>
      <c r="U180" s="79"/>
      <c r="V180" s="79"/>
      <c r="W180" s="79"/>
      <c r="X180" s="79"/>
      <c r="Y180" s="79"/>
      <c r="Z180" s="79"/>
      <c r="AA180" s="79"/>
      <c r="AB180" s="79"/>
    </row>
    <row r="181" spans="3:30" x14ac:dyDescent="0.25">
      <c r="C181" s="88"/>
      <c r="F181" t="s">
        <v>194</v>
      </c>
      <c r="G181" t="s">
        <v>270</v>
      </c>
      <c r="J181" s="98">
        <f t="shared" ref="J181:K181" si="155">hundred*J98*$H70*J85/$H42/days_in_year/(1+$H28)*PowerFactor</f>
        <v>0</v>
      </c>
      <c r="K181" s="98">
        <f t="shared" si="155"/>
        <v>0</v>
      </c>
      <c r="L181" s="98">
        <f t="shared" ref="L181:M181" si="156">hundred*L98*$H70*L85/$H42/days_in_year/(1+$H28)*PowerFactor</f>
        <v>0</v>
      </c>
      <c r="M181" s="98">
        <f t="shared" si="156"/>
        <v>0</v>
      </c>
      <c r="N181" s="98">
        <f t="shared" ref="N181:P181" si="157">hundred*N98*$H70*N85/$H42/days_in_year/(1+$H28)*PowerFactor</f>
        <v>0</v>
      </c>
      <c r="O181" s="98">
        <f t="shared" si="157"/>
        <v>0</v>
      </c>
      <c r="P181" s="98">
        <f t="shared" si="157"/>
        <v>0.49839583184405867</v>
      </c>
      <c r="Q181" s="98">
        <f t="shared" ref="Q181:S181" si="158">hundred*Q98*$H70*Q85/$H42/days_in_year/(1+$H28)*PowerFactor</f>
        <v>0</v>
      </c>
      <c r="R181" s="98">
        <f t="shared" si="158"/>
        <v>0</v>
      </c>
      <c r="S181" s="98">
        <f t="shared" si="158"/>
        <v>0.49839583184405867</v>
      </c>
      <c r="T181" s="98">
        <f t="shared" ref="T181" si="159">hundred*T98*$H70*T85/$H42/days_in_year/(1+$H28)*PowerFactor</f>
        <v>0</v>
      </c>
      <c r="U181" s="79"/>
      <c r="V181" s="79"/>
      <c r="W181" s="79"/>
      <c r="X181" s="79"/>
      <c r="Y181" s="79"/>
      <c r="Z181" s="79"/>
      <c r="AA181" s="79"/>
      <c r="AB181" s="79"/>
    </row>
    <row r="182" spans="3:30" x14ac:dyDescent="0.25">
      <c r="C182" s="88"/>
      <c r="F182" t="s">
        <v>195</v>
      </c>
      <c r="G182" t="s">
        <v>270</v>
      </c>
      <c r="J182" s="98">
        <f t="shared" ref="J182:K182" si="160">hundred*J99*$H71*J86/$H43/days_in_year/(1+$H29)*PowerFactor</f>
        <v>0</v>
      </c>
      <c r="K182" s="98">
        <f t="shared" si="160"/>
        <v>0</v>
      </c>
      <c r="L182" s="98">
        <f t="shared" ref="L182:M182" si="161">hundred*L99*$H71*L86/$H43/days_in_year/(1+$H29)*PowerFactor</f>
        <v>0</v>
      </c>
      <c r="M182" s="98">
        <f t="shared" si="161"/>
        <v>0</v>
      </c>
      <c r="N182" s="98">
        <f t="shared" ref="N182:P182" si="162">hundred*N99*$H71*N86/$H43/days_in_year/(1+$H29)*PowerFactor</f>
        <v>0</v>
      </c>
      <c r="O182" s="98">
        <f t="shared" si="162"/>
        <v>0</v>
      </c>
      <c r="P182" s="98">
        <f t="shared" si="162"/>
        <v>0</v>
      </c>
      <c r="Q182" s="98">
        <f t="shared" ref="Q182:S182" si="163">hundred*Q99*$H71*Q86/$H43/days_in_year/(1+$H29)*PowerFactor</f>
        <v>0</v>
      </c>
      <c r="R182" s="98">
        <f t="shared" si="163"/>
        <v>0</v>
      </c>
      <c r="S182" s="98">
        <f t="shared" si="163"/>
        <v>0</v>
      </c>
      <c r="T182" s="98">
        <f t="shared" ref="T182" si="164">hundred*T99*$H71*T86/$H43/days_in_year/(1+$H29)*PowerFactor</f>
        <v>0</v>
      </c>
      <c r="U182" s="79"/>
      <c r="V182" s="79"/>
      <c r="W182" s="79"/>
      <c r="X182" s="79"/>
      <c r="Y182" s="79"/>
      <c r="Z182" s="79"/>
      <c r="AA182" s="79"/>
      <c r="AB182" s="79"/>
    </row>
    <row r="183" spans="3:30" x14ac:dyDescent="0.25">
      <c r="C183" s="88"/>
      <c r="F183" t="s">
        <v>196</v>
      </c>
      <c r="G183" t="s">
        <v>270</v>
      </c>
      <c r="J183" s="98">
        <f t="shared" ref="J183:K183" si="165">hundred*J100*$H72*J87/$H44/days_in_year/(1+$H30)*PowerFactor</f>
        <v>0</v>
      </c>
      <c r="K183" s="98">
        <f t="shared" si="165"/>
        <v>0</v>
      </c>
      <c r="L183" s="98">
        <f t="shared" ref="L183:M183" si="166">hundred*L100*$H72*L87/$H44/days_in_year/(1+$H30)*PowerFactor</f>
        <v>0</v>
      </c>
      <c r="M183" s="98">
        <f t="shared" si="166"/>
        <v>0</v>
      </c>
      <c r="N183" s="98">
        <f t="shared" ref="N183:P183" si="167">hundred*N100*$H72*N87/$H44/days_in_year/(1+$H30)*PowerFactor</f>
        <v>0.36713230228035904</v>
      </c>
      <c r="O183" s="98">
        <f t="shared" si="167"/>
        <v>1.7453830764148219</v>
      </c>
      <c r="P183" s="98">
        <f t="shared" si="167"/>
        <v>1.7152902647524968</v>
      </c>
      <c r="Q183" s="98">
        <f t="shared" ref="Q183:S183" si="168">hundred*Q100*$H72*Q87/$H44/days_in_year/(1+$H30)*PowerFactor</f>
        <v>0.36713230228035904</v>
      </c>
      <c r="R183" s="98">
        <f t="shared" si="168"/>
        <v>1.7453830764148219</v>
      </c>
      <c r="S183" s="98">
        <f t="shared" si="168"/>
        <v>1.7152902647524968</v>
      </c>
      <c r="T183" s="98">
        <f t="shared" ref="T183" si="169">hundred*T100*$H72*T87/$H44/days_in_year/(1+$H30)*PowerFactor</f>
        <v>0</v>
      </c>
      <c r="U183" s="79"/>
      <c r="V183" s="79"/>
      <c r="W183" s="79"/>
      <c r="X183" s="79"/>
      <c r="Y183" s="79"/>
      <c r="Z183" s="79"/>
      <c r="AA183" s="79"/>
      <c r="AB183" s="79"/>
    </row>
    <row r="184" spans="3:30" x14ac:dyDescent="0.25">
      <c r="C184" s="88"/>
      <c r="F184" t="s">
        <v>197</v>
      </c>
      <c r="G184" t="s">
        <v>270</v>
      </c>
      <c r="J184" s="98">
        <f t="shared" ref="J184:K184" si="170">hundred*J101*$H73*J88/$H45/days_in_year/(1+$H31)*PowerFactor</f>
        <v>0</v>
      </c>
      <c r="K184" s="98">
        <f t="shared" si="170"/>
        <v>0</v>
      </c>
      <c r="L184" s="98">
        <f t="shared" ref="L184:M184" si="171">hundred*L101*$H73*L88/$H45/days_in_year/(1+$H31)*PowerFactor</f>
        <v>0</v>
      </c>
      <c r="M184" s="98">
        <f t="shared" si="171"/>
        <v>0</v>
      </c>
      <c r="N184" s="98">
        <f t="shared" ref="N184:P184" si="172">hundred*N101*$H73*N88/$H45/days_in_year/(1+$H31)*PowerFactor</f>
        <v>0.4613537153519332</v>
      </c>
      <c r="O184" s="98">
        <f t="shared" si="172"/>
        <v>0.438664188367412</v>
      </c>
      <c r="P184" s="98">
        <f t="shared" si="172"/>
        <v>0</v>
      </c>
      <c r="Q184" s="98">
        <f t="shared" ref="Q184:S184" si="173">hundred*Q101*$H73*Q88/$H45/days_in_year/(1+$H31)*PowerFactor</f>
        <v>0.4613537153519332</v>
      </c>
      <c r="R184" s="98">
        <f t="shared" si="173"/>
        <v>0.438664188367412</v>
      </c>
      <c r="S184" s="98">
        <f t="shared" si="173"/>
        <v>0</v>
      </c>
      <c r="T184" s="98">
        <f t="shared" ref="T184" si="174">hundred*T101*$H73*T88/$H45/days_in_year/(1+$H31)*PowerFactor</f>
        <v>0</v>
      </c>
      <c r="U184" s="79"/>
      <c r="V184" s="79"/>
      <c r="W184" s="79"/>
      <c r="X184" s="79"/>
      <c r="Y184" s="79"/>
      <c r="Z184" s="79"/>
      <c r="AA184" s="79"/>
      <c r="AB184" s="79"/>
    </row>
    <row r="185" spans="3:30" x14ac:dyDescent="0.25">
      <c r="C185" s="88"/>
      <c r="F185" t="s">
        <v>198</v>
      </c>
      <c r="G185" t="s">
        <v>270</v>
      </c>
      <c r="J185" s="98">
        <f t="shared" ref="J185:K185" si="175">hundred*J102*$H74*J89/$H46/days_in_year/(1+$H32)*PowerFactor</f>
        <v>0.74020135576371915</v>
      </c>
      <c r="K185" s="98">
        <f t="shared" si="175"/>
        <v>0.74020135576371915</v>
      </c>
      <c r="L185" s="98">
        <f t="shared" ref="L185:M185" si="176">hundred*L102*$H74*L89/$H46/days_in_year/(1+$H32)*PowerFactor</f>
        <v>0.74020135576371915</v>
      </c>
      <c r="M185" s="98">
        <f t="shared" si="176"/>
        <v>0.74020135576371915</v>
      </c>
      <c r="N185" s="98">
        <f t="shared" ref="N185:P185" si="177">hundred*N102*$H74*N89/$H46/days_in_year/(1+$H32)*PowerFactor</f>
        <v>0.74020135576371915</v>
      </c>
      <c r="O185" s="98">
        <f t="shared" si="177"/>
        <v>0</v>
      </c>
      <c r="P185" s="98">
        <f t="shared" si="177"/>
        <v>0</v>
      </c>
      <c r="Q185" s="98">
        <f t="shared" ref="Q185:S185" si="178">hundred*Q102*$H74*Q89/$H46/days_in_year/(1+$H32)*PowerFactor</f>
        <v>0.74020135576371915</v>
      </c>
      <c r="R185" s="98">
        <f t="shared" si="178"/>
        <v>0</v>
      </c>
      <c r="S185" s="98">
        <f t="shared" si="178"/>
        <v>0</v>
      </c>
      <c r="T185" s="98">
        <f t="shared" ref="T185" si="179">hundred*T102*$H74*T89/$H46/days_in_year/(1+$H32)*PowerFactor</f>
        <v>0</v>
      </c>
      <c r="U185" s="79"/>
      <c r="V185" s="79"/>
      <c r="W185" s="79"/>
      <c r="X185" s="79"/>
      <c r="Y185" s="79"/>
      <c r="Z185" s="79"/>
      <c r="AA185" s="79"/>
      <c r="AB185" s="79"/>
    </row>
    <row r="186" spans="3:30" x14ac:dyDescent="0.25">
      <c r="C186" s="88"/>
      <c r="F186" t="s">
        <v>375</v>
      </c>
      <c r="G186" t="s">
        <v>270</v>
      </c>
      <c r="J186" s="79"/>
      <c r="K186" s="79"/>
      <c r="L186" s="79"/>
      <c r="M186" s="79"/>
      <c r="N186" s="79"/>
      <c r="O186" s="79"/>
      <c r="P186" s="79"/>
      <c r="Q186" s="79"/>
      <c r="R186" s="79"/>
      <c r="S186" s="79"/>
      <c r="T186" s="79"/>
      <c r="U186" s="79"/>
      <c r="V186" s="79"/>
      <c r="W186" s="79"/>
      <c r="X186" s="79"/>
      <c r="Y186" s="79"/>
      <c r="Z186" s="79"/>
      <c r="AA186" s="79"/>
      <c r="AB186" s="79"/>
    </row>
    <row r="187" spans="3:30" x14ac:dyDescent="0.25">
      <c r="C187" s="88"/>
      <c r="F187" s="37" t="s">
        <v>376</v>
      </c>
      <c r="G187" s="37" t="s">
        <v>270</v>
      </c>
      <c r="H187" s="37"/>
      <c r="I187" s="37"/>
      <c r="J187" s="81"/>
      <c r="K187" s="81"/>
      <c r="L187" s="81"/>
      <c r="M187" s="81"/>
      <c r="N187" s="81"/>
      <c r="O187" s="81"/>
      <c r="P187" s="81"/>
      <c r="Q187" s="81"/>
      <c r="R187" s="81"/>
      <c r="S187" s="81"/>
      <c r="T187" s="81"/>
      <c r="U187" s="81"/>
      <c r="V187" s="81"/>
      <c r="W187" s="81"/>
      <c r="X187" s="81"/>
      <c r="Y187" s="81"/>
      <c r="Z187" s="81"/>
      <c r="AA187" s="81"/>
      <c r="AB187" s="81"/>
    </row>
    <row r="188" spans="3:30" x14ac:dyDescent="0.25">
      <c r="C188" s="88"/>
      <c r="J188" s="89"/>
      <c r="K188" s="89"/>
      <c r="L188" s="89"/>
      <c r="M188" s="89"/>
      <c r="N188" s="89"/>
      <c r="O188" s="89"/>
      <c r="P188" s="89"/>
      <c r="Q188" s="89"/>
      <c r="R188" s="89"/>
      <c r="S188" s="89"/>
      <c r="T188" s="89"/>
      <c r="U188" s="89"/>
      <c r="V188" s="89"/>
      <c r="W188" s="89"/>
      <c r="X188" s="89"/>
      <c r="Y188" s="89"/>
      <c r="Z188" s="89"/>
      <c r="AA188" s="89"/>
      <c r="AB188" s="89"/>
    </row>
    <row r="189" spans="3:30" x14ac:dyDescent="0.25">
      <c r="C189" s="31" t="str">
        <f ca="1">INDEX('Version control'!$H$34:$H$57,MATCH($A$1,'Version control'!$F$34:$F$57,0),1)&amp;"-D: Capacity charges for eligible customers, by network level"</f>
        <v>Section 113-D: Capacity charges for eligible customers, by network level</v>
      </c>
      <c r="D189" s="31"/>
      <c r="E189" s="31"/>
      <c r="F189" s="31"/>
      <c r="G189" s="31"/>
      <c r="H189" s="31"/>
      <c r="I189" s="31"/>
      <c r="J189" s="90"/>
      <c r="K189" s="90"/>
      <c r="L189" s="90"/>
      <c r="M189" s="90"/>
      <c r="N189" s="90"/>
      <c r="O189" s="90"/>
      <c r="P189" s="90"/>
      <c r="Q189" s="90"/>
      <c r="R189" s="90"/>
      <c r="S189" s="90"/>
      <c r="T189" s="90"/>
      <c r="U189" s="90"/>
      <c r="V189" s="90"/>
      <c r="W189" s="90"/>
      <c r="X189" s="90"/>
      <c r="Y189" s="90"/>
      <c r="Z189" s="90"/>
      <c r="AA189" s="90"/>
      <c r="AB189" s="90"/>
      <c r="AC189" s="31"/>
      <c r="AD189" s="31"/>
    </row>
    <row r="190" spans="3:30" x14ac:dyDescent="0.25">
      <c r="D190" s="32"/>
      <c r="E190" s="32"/>
      <c r="I190" t="s">
        <v>153</v>
      </c>
      <c r="J190" s="89"/>
      <c r="K190" s="89"/>
      <c r="L190" s="89"/>
      <c r="M190" s="89"/>
      <c r="N190" s="89"/>
      <c r="O190" s="89"/>
      <c r="P190" s="89"/>
      <c r="Q190" s="89"/>
      <c r="R190" s="89"/>
      <c r="S190" s="89"/>
      <c r="T190" s="89"/>
      <c r="U190" s="89"/>
      <c r="V190" s="89"/>
      <c r="W190" s="89"/>
      <c r="X190" s="89"/>
      <c r="Y190" s="89"/>
      <c r="Z190" s="89"/>
      <c r="AA190" s="89"/>
      <c r="AB190" s="89"/>
      <c r="AD190" t="s">
        <v>704</v>
      </c>
    </row>
    <row r="191" spans="3:30" x14ac:dyDescent="0.25">
      <c r="C191" s="88"/>
      <c r="D191"/>
      <c r="E191" s="32" t="s">
        <v>620</v>
      </c>
      <c r="J191" s="89"/>
      <c r="K191" s="89"/>
      <c r="L191" s="89"/>
      <c r="M191" s="89"/>
      <c r="N191" s="89"/>
      <c r="O191" s="89"/>
      <c r="P191" s="89"/>
      <c r="Q191" s="89"/>
      <c r="R191" s="89"/>
      <c r="S191" s="89"/>
      <c r="T191" s="89"/>
      <c r="U191" s="89"/>
      <c r="V191" s="89"/>
      <c r="W191" s="89"/>
      <c r="X191" s="89"/>
      <c r="Y191" s="89"/>
      <c r="Z191" s="89"/>
      <c r="AA191" s="89"/>
      <c r="AB191" s="89"/>
    </row>
    <row r="192" spans="3:30" x14ac:dyDescent="0.25">
      <c r="C192" s="88"/>
      <c r="D192"/>
      <c r="F192" s="23" t="s">
        <v>188</v>
      </c>
      <c r="G192" s="23" t="s">
        <v>270</v>
      </c>
      <c r="H192" s="23"/>
      <c r="I192" s="23"/>
      <c r="J192" s="83"/>
      <c r="K192" s="83"/>
      <c r="L192" s="83"/>
      <c r="M192" s="83"/>
      <c r="N192" s="83"/>
      <c r="O192" s="83"/>
      <c r="P192" s="83"/>
      <c r="Q192" s="83"/>
      <c r="R192" s="83"/>
      <c r="S192" s="83"/>
      <c r="T192" s="83"/>
      <c r="U192" s="83"/>
      <c r="V192" s="83"/>
      <c r="W192" s="83"/>
      <c r="X192" s="83"/>
      <c r="Y192" s="83"/>
      <c r="Z192" s="83"/>
      <c r="AA192" s="83"/>
      <c r="AB192" s="83"/>
    </row>
    <row r="193" spans="3:28" x14ac:dyDescent="0.25">
      <c r="C193" s="88"/>
      <c r="D193"/>
      <c r="F193" t="s">
        <v>190</v>
      </c>
      <c r="G193" t="s">
        <v>270</v>
      </c>
      <c r="J193" s="79"/>
      <c r="K193" s="79"/>
      <c r="L193" s="79"/>
      <c r="M193" s="79"/>
      <c r="N193" s="79"/>
      <c r="O193" s="79"/>
      <c r="P193" s="79"/>
      <c r="Q193" s="79"/>
      <c r="R193" s="79"/>
      <c r="S193" s="79"/>
      <c r="T193" s="79"/>
      <c r="U193" s="79"/>
      <c r="V193" s="79"/>
      <c r="W193" s="79"/>
      <c r="X193" s="79"/>
      <c r="Y193" s="79"/>
      <c r="Z193" s="79"/>
      <c r="AA193" s="79"/>
      <c r="AB193" s="79"/>
    </row>
    <row r="194" spans="3:28" x14ac:dyDescent="0.25">
      <c r="C194" s="88"/>
      <c r="D194"/>
      <c r="F194" t="s">
        <v>191</v>
      </c>
      <c r="G194" t="s">
        <v>270</v>
      </c>
      <c r="J194" s="98">
        <f t="shared" ref="J194:K194" si="180">J$121 * J134</f>
        <v>0</v>
      </c>
      <c r="K194" s="98">
        <f t="shared" si="180"/>
        <v>0</v>
      </c>
      <c r="L194" s="98">
        <f t="shared" ref="L194:M194" si="181">L$121 * L134</f>
        <v>0</v>
      </c>
      <c r="M194" s="98">
        <f t="shared" si="181"/>
        <v>0</v>
      </c>
      <c r="N194" s="98">
        <f t="shared" ref="N194:P194" si="182">N$121 * N134</f>
        <v>0</v>
      </c>
      <c r="O194" s="98">
        <f t="shared" si="182"/>
        <v>0</v>
      </c>
      <c r="P194" s="98">
        <f t="shared" si="182"/>
        <v>0</v>
      </c>
      <c r="Q194" s="98">
        <f t="shared" ref="Q194:S194" si="183">Q$121 * Q134</f>
        <v>0</v>
      </c>
      <c r="R194" s="98">
        <f t="shared" si="183"/>
        <v>0</v>
      </c>
      <c r="S194" s="98">
        <f t="shared" si="183"/>
        <v>0</v>
      </c>
      <c r="T194" s="98">
        <f t="shared" ref="T194" si="184">T$121 * T134</f>
        <v>0</v>
      </c>
      <c r="U194" s="79"/>
      <c r="V194" s="79"/>
      <c r="W194" s="79"/>
      <c r="X194" s="79"/>
      <c r="Y194" s="79"/>
      <c r="Z194" s="79"/>
      <c r="AA194" s="79"/>
      <c r="AB194" s="79"/>
    </row>
    <row r="195" spans="3:28" x14ac:dyDescent="0.25">
      <c r="C195" s="88"/>
      <c r="D195"/>
      <c r="F195" t="s">
        <v>192</v>
      </c>
      <c r="G195" t="s">
        <v>270</v>
      </c>
      <c r="J195" s="98">
        <f t="shared" ref="J195:K195" si="185">J$121 * J135</f>
        <v>0</v>
      </c>
      <c r="K195" s="98">
        <f t="shared" si="185"/>
        <v>0</v>
      </c>
      <c r="L195" s="98">
        <f t="shared" ref="L195:M195" si="186">L$121 * L135</f>
        <v>0</v>
      </c>
      <c r="M195" s="98">
        <f t="shared" si="186"/>
        <v>0</v>
      </c>
      <c r="N195" s="98">
        <f t="shared" ref="N195:P195" si="187">N$121 * N135</f>
        <v>0</v>
      </c>
      <c r="O195" s="98">
        <f t="shared" si="187"/>
        <v>0</v>
      </c>
      <c r="P195" s="98">
        <f t="shared" si="187"/>
        <v>0</v>
      </c>
      <c r="Q195" s="98">
        <f t="shared" ref="Q195:S195" si="188">Q$121 * Q135</f>
        <v>0</v>
      </c>
      <c r="R195" s="98">
        <f t="shared" si="188"/>
        <v>0</v>
      </c>
      <c r="S195" s="98">
        <f t="shared" si="188"/>
        <v>0</v>
      </c>
      <c r="T195" s="98">
        <f t="shared" ref="T195" si="189">T$121 * T135</f>
        <v>0</v>
      </c>
      <c r="U195" s="79"/>
      <c r="V195" s="79"/>
      <c r="W195" s="79"/>
      <c r="X195" s="79"/>
      <c r="Y195" s="79"/>
      <c r="Z195" s="79"/>
      <c r="AA195" s="79"/>
      <c r="AB195" s="79"/>
    </row>
    <row r="196" spans="3:28" x14ac:dyDescent="0.25">
      <c r="C196" s="88"/>
      <c r="D196"/>
      <c r="F196" t="s">
        <v>193</v>
      </c>
      <c r="G196" t="s">
        <v>270</v>
      </c>
      <c r="J196" s="98">
        <f t="shared" ref="J196:K196" si="190">J$121 * J136</f>
        <v>0</v>
      </c>
      <c r="K196" s="98">
        <f t="shared" si="190"/>
        <v>0</v>
      </c>
      <c r="L196" s="98">
        <f t="shared" ref="L196:M196" si="191">L$121 * L136</f>
        <v>0</v>
      </c>
      <c r="M196" s="98">
        <f t="shared" si="191"/>
        <v>0</v>
      </c>
      <c r="N196" s="98">
        <f t="shared" ref="N196:P196" si="192">N$121 * N136</f>
        <v>0</v>
      </c>
      <c r="O196" s="98">
        <f t="shared" si="192"/>
        <v>0</v>
      </c>
      <c r="P196" s="98">
        <f t="shared" si="192"/>
        <v>0.50998564512566313</v>
      </c>
      <c r="Q196" s="98">
        <f t="shared" ref="Q196:S196" si="193">Q$121 * Q136</f>
        <v>0</v>
      </c>
      <c r="R196" s="98">
        <f t="shared" si="193"/>
        <v>0</v>
      </c>
      <c r="S196" s="98">
        <f t="shared" si="193"/>
        <v>0.50998564512566313</v>
      </c>
      <c r="T196" s="98">
        <f t="shared" ref="T196" si="194">T$121 * T136</f>
        <v>0</v>
      </c>
      <c r="U196" s="79"/>
      <c r="V196" s="79"/>
      <c r="W196" s="79"/>
      <c r="X196" s="79"/>
      <c r="Y196" s="79"/>
      <c r="Z196" s="79"/>
      <c r="AA196" s="79"/>
      <c r="AB196" s="79"/>
    </row>
    <row r="197" spans="3:28" x14ac:dyDescent="0.25">
      <c r="C197" s="88"/>
      <c r="D197"/>
      <c r="F197" t="s">
        <v>194</v>
      </c>
      <c r="G197" t="s">
        <v>270</v>
      </c>
      <c r="J197" s="98">
        <f t="shared" ref="J197:K197" si="195">J$121 * J137</f>
        <v>0</v>
      </c>
      <c r="K197" s="98">
        <f t="shared" si="195"/>
        <v>0</v>
      </c>
      <c r="L197" s="98">
        <f t="shared" ref="L197:M197" si="196">L$121 * L137</f>
        <v>0</v>
      </c>
      <c r="M197" s="98">
        <f t="shared" si="196"/>
        <v>0</v>
      </c>
      <c r="N197" s="98">
        <f t="shared" ref="N197:P197" si="197">N$121 * N137</f>
        <v>0</v>
      </c>
      <c r="O197" s="98">
        <f t="shared" si="197"/>
        <v>0</v>
      </c>
      <c r="P197" s="98">
        <f t="shared" si="197"/>
        <v>0.57853507989949204</v>
      </c>
      <c r="Q197" s="98">
        <f t="shared" ref="Q197:S197" si="198">Q$121 * Q137</f>
        <v>0</v>
      </c>
      <c r="R197" s="98">
        <f t="shared" si="198"/>
        <v>0</v>
      </c>
      <c r="S197" s="98">
        <f t="shared" si="198"/>
        <v>0.57853507989949204</v>
      </c>
      <c r="T197" s="98">
        <f t="shared" ref="T197" si="199">T$121 * T137</f>
        <v>0</v>
      </c>
      <c r="U197" s="79"/>
      <c r="V197" s="79"/>
      <c r="W197" s="79"/>
      <c r="X197" s="79"/>
      <c r="Y197" s="79"/>
      <c r="Z197" s="79"/>
      <c r="AA197" s="79"/>
      <c r="AB197" s="79"/>
    </row>
    <row r="198" spans="3:28" x14ac:dyDescent="0.25">
      <c r="C198" s="88"/>
      <c r="D198"/>
      <c r="F198" t="s">
        <v>195</v>
      </c>
      <c r="G198" t="s">
        <v>270</v>
      </c>
      <c r="J198" s="98">
        <f t="shared" ref="J198:K198" si="200">J$121 * J138</f>
        <v>0</v>
      </c>
      <c r="K198" s="98">
        <f t="shared" si="200"/>
        <v>0</v>
      </c>
      <c r="L198" s="98">
        <f t="shared" ref="L198:M198" si="201">L$121 * L138</f>
        <v>0</v>
      </c>
      <c r="M198" s="98">
        <f t="shared" si="201"/>
        <v>0</v>
      </c>
      <c r="N198" s="98">
        <f t="shared" ref="N198:P198" si="202">N$121 * N138</f>
        <v>0</v>
      </c>
      <c r="O198" s="98">
        <f t="shared" si="202"/>
        <v>0</v>
      </c>
      <c r="P198" s="98">
        <f t="shared" si="202"/>
        <v>0</v>
      </c>
      <c r="Q198" s="98">
        <f t="shared" ref="Q198:S198" si="203">Q$121 * Q138</f>
        <v>0</v>
      </c>
      <c r="R198" s="98">
        <f t="shared" si="203"/>
        <v>0</v>
      </c>
      <c r="S198" s="98">
        <f t="shared" si="203"/>
        <v>0</v>
      </c>
      <c r="T198" s="98">
        <f t="shared" ref="T198" si="204">T$121 * T138</f>
        <v>0</v>
      </c>
      <c r="U198" s="79"/>
      <c r="V198" s="79"/>
      <c r="W198" s="79"/>
      <c r="X198" s="79"/>
      <c r="Y198" s="79"/>
      <c r="Z198" s="79"/>
      <c r="AA198" s="79"/>
      <c r="AB198" s="79"/>
    </row>
    <row r="199" spans="3:28" x14ac:dyDescent="0.25">
      <c r="C199" s="88"/>
      <c r="D199"/>
      <c r="F199" t="s">
        <v>196</v>
      </c>
      <c r="G199" t="s">
        <v>270</v>
      </c>
      <c r="J199" s="98">
        <f t="shared" ref="J199:K199" si="205">J$121 * J139</f>
        <v>0</v>
      </c>
      <c r="K199" s="98">
        <f t="shared" si="205"/>
        <v>0</v>
      </c>
      <c r="L199" s="98">
        <f t="shared" ref="L199:M199" si="206">L$121 * L139</f>
        <v>0</v>
      </c>
      <c r="M199" s="98">
        <f t="shared" si="206"/>
        <v>0</v>
      </c>
      <c r="N199" s="98">
        <f t="shared" ref="N199:P199" si="207">N$121 * N139</f>
        <v>0.39708965079178232</v>
      </c>
      <c r="O199" s="98">
        <f t="shared" si="207"/>
        <v>1.8878032578625719</v>
      </c>
      <c r="P199" s="98">
        <f t="shared" si="207"/>
        <v>1.2731233615976907</v>
      </c>
      <c r="Q199" s="98">
        <f t="shared" ref="Q199:S199" si="208">Q$121 * Q139</f>
        <v>0.39708965079178232</v>
      </c>
      <c r="R199" s="98">
        <f t="shared" si="208"/>
        <v>1.8878032578625719</v>
      </c>
      <c r="S199" s="98">
        <f t="shared" si="208"/>
        <v>1.2731233615976907</v>
      </c>
      <c r="T199" s="98">
        <f t="shared" ref="T199" si="209">T$121 * T139</f>
        <v>0</v>
      </c>
      <c r="U199" s="79"/>
      <c r="V199" s="79"/>
      <c r="W199" s="79"/>
      <c r="X199" s="79"/>
      <c r="Y199" s="79"/>
      <c r="Z199" s="79"/>
      <c r="AA199" s="79"/>
      <c r="AB199" s="79"/>
    </row>
    <row r="200" spans="3:28" x14ac:dyDescent="0.25">
      <c r="C200" s="88"/>
      <c r="D200"/>
      <c r="F200" t="s">
        <v>197</v>
      </c>
      <c r="G200" t="s">
        <v>270</v>
      </c>
      <c r="J200" s="98">
        <f t="shared" ref="J200:K200" si="210">J$121 * J140</f>
        <v>0</v>
      </c>
      <c r="K200" s="98">
        <f t="shared" si="210"/>
        <v>0</v>
      </c>
      <c r="L200" s="98">
        <f t="shared" ref="L200:M200" si="211">L$121 * L140</f>
        <v>0</v>
      </c>
      <c r="M200" s="98">
        <f t="shared" si="211"/>
        <v>0</v>
      </c>
      <c r="N200" s="98">
        <f t="shared" ref="N200:P200" si="212">N$121 * N140</f>
        <v>0.45590492725063009</v>
      </c>
      <c r="O200" s="98">
        <f t="shared" si="212"/>
        <v>0.43348337345141869</v>
      </c>
      <c r="P200" s="98">
        <f t="shared" si="212"/>
        <v>0</v>
      </c>
      <c r="Q200" s="98">
        <f t="shared" ref="Q200:S200" si="213">Q$121 * Q140</f>
        <v>0.45590492725063009</v>
      </c>
      <c r="R200" s="98">
        <f t="shared" si="213"/>
        <v>0.43348337345141869</v>
      </c>
      <c r="S200" s="98">
        <f t="shared" si="213"/>
        <v>0</v>
      </c>
      <c r="T200" s="98">
        <f t="shared" ref="T200" si="214">T$121 * T140</f>
        <v>0</v>
      </c>
      <c r="U200" s="79"/>
      <c r="V200" s="79"/>
      <c r="W200" s="79"/>
      <c r="X200" s="79"/>
      <c r="Y200" s="79"/>
      <c r="Z200" s="79"/>
      <c r="AA200" s="79"/>
      <c r="AB200" s="79"/>
    </row>
    <row r="201" spans="3:28" x14ac:dyDescent="0.25">
      <c r="C201" s="88"/>
      <c r="D201"/>
      <c r="F201" t="s">
        <v>198</v>
      </c>
      <c r="G201" t="s">
        <v>270</v>
      </c>
      <c r="J201" s="98">
        <f t="shared" ref="J201:K201" si="215">J$121 * J141</f>
        <v>0</v>
      </c>
      <c r="K201" s="98">
        <f t="shared" si="215"/>
        <v>0</v>
      </c>
      <c r="L201" s="98">
        <f t="shared" ref="L201:M201" si="216">L$121 * L141</f>
        <v>0</v>
      </c>
      <c r="M201" s="98">
        <f t="shared" si="216"/>
        <v>0</v>
      </c>
      <c r="N201" s="98">
        <f t="shared" ref="N201:P201" si="217">N$121 * N141</f>
        <v>7.640178367250032E-2</v>
      </c>
      <c r="O201" s="98">
        <f t="shared" si="217"/>
        <v>0</v>
      </c>
      <c r="P201" s="98">
        <f t="shared" si="217"/>
        <v>0</v>
      </c>
      <c r="Q201" s="98">
        <f t="shared" ref="Q201:S201" si="218">Q$121 * Q141</f>
        <v>7.640178367250032E-2</v>
      </c>
      <c r="R201" s="98">
        <f t="shared" si="218"/>
        <v>0</v>
      </c>
      <c r="S201" s="98">
        <f t="shared" si="218"/>
        <v>0</v>
      </c>
      <c r="T201" s="98">
        <f t="shared" ref="T201" si="219">T$121 * T141</f>
        <v>0</v>
      </c>
      <c r="U201" s="79"/>
      <c r="V201" s="79"/>
      <c r="W201" s="79"/>
      <c r="X201" s="79"/>
      <c r="Y201" s="79"/>
      <c r="Z201" s="79"/>
      <c r="AA201" s="79"/>
      <c r="AB201" s="79"/>
    </row>
    <row r="202" spans="3:28" x14ac:dyDescent="0.25">
      <c r="C202" s="88"/>
      <c r="D202"/>
      <c r="F202" t="s">
        <v>375</v>
      </c>
      <c r="G202" t="s">
        <v>270</v>
      </c>
      <c r="J202" s="79"/>
      <c r="K202" s="79"/>
      <c r="L202" s="79"/>
      <c r="M202" s="79"/>
      <c r="N202" s="79"/>
      <c r="O202" s="79"/>
      <c r="P202" s="79"/>
      <c r="Q202" s="79"/>
      <c r="R202" s="79"/>
      <c r="S202" s="79"/>
      <c r="T202" s="79"/>
      <c r="U202" s="79"/>
      <c r="V202" s="79"/>
      <c r="W202" s="79"/>
      <c r="X202" s="79"/>
      <c r="Y202" s="79"/>
      <c r="Z202" s="79"/>
      <c r="AA202" s="79"/>
      <c r="AB202" s="79"/>
    </row>
    <row r="203" spans="3:28" x14ac:dyDescent="0.25">
      <c r="C203" s="88"/>
      <c r="D203"/>
      <c r="F203" s="37" t="s">
        <v>376</v>
      </c>
      <c r="G203" s="37" t="s">
        <v>270</v>
      </c>
      <c r="H203" s="37"/>
      <c r="I203" s="37"/>
      <c r="J203" s="81"/>
      <c r="K203" s="81"/>
      <c r="L203" s="81"/>
      <c r="M203" s="81"/>
      <c r="N203" s="81"/>
      <c r="O203" s="81"/>
      <c r="P203" s="81"/>
      <c r="Q203" s="81"/>
      <c r="R203" s="81"/>
      <c r="S203" s="81"/>
      <c r="T203" s="81"/>
      <c r="U203" s="81"/>
      <c r="V203" s="81"/>
      <c r="W203" s="81"/>
      <c r="X203" s="81"/>
      <c r="Y203" s="81"/>
      <c r="Z203" s="81"/>
      <c r="AA203" s="81"/>
      <c r="AB203" s="81"/>
    </row>
    <row r="204" spans="3:28" x14ac:dyDescent="0.25">
      <c r="C204" s="88"/>
      <c r="D204"/>
      <c r="J204" s="89"/>
      <c r="K204" s="89"/>
      <c r="L204" s="89"/>
      <c r="M204" s="89"/>
      <c r="N204" s="89"/>
      <c r="O204" s="89"/>
      <c r="P204" s="89"/>
      <c r="Q204" s="89"/>
      <c r="R204" s="89"/>
      <c r="S204" s="89"/>
      <c r="T204" s="89"/>
      <c r="U204" s="89"/>
      <c r="V204" s="89"/>
      <c r="W204" s="89"/>
      <c r="X204" s="89"/>
      <c r="Y204" s="89"/>
      <c r="Z204" s="89"/>
      <c r="AA204" s="89"/>
      <c r="AB204" s="89"/>
    </row>
    <row r="205" spans="3:28" x14ac:dyDescent="0.25">
      <c r="C205" s="88"/>
      <c r="D205"/>
      <c r="E205" s="32" t="s">
        <v>621</v>
      </c>
      <c r="J205" s="89"/>
      <c r="K205" s="89"/>
      <c r="L205" s="89"/>
      <c r="M205" s="89"/>
      <c r="N205" s="89"/>
      <c r="O205" s="89"/>
      <c r="P205" s="89"/>
      <c r="Q205" s="89"/>
      <c r="R205" s="89"/>
      <c r="S205" s="89"/>
      <c r="T205" s="89"/>
      <c r="U205" s="89"/>
      <c r="V205" s="89"/>
      <c r="W205" s="89"/>
      <c r="X205" s="89"/>
      <c r="Y205" s="89"/>
      <c r="Z205" s="89"/>
      <c r="AA205" s="89"/>
      <c r="AB205" s="89"/>
    </row>
    <row r="206" spans="3:28" x14ac:dyDescent="0.25">
      <c r="C206" s="88"/>
      <c r="D206"/>
      <c r="F206" s="23" t="s">
        <v>188</v>
      </c>
      <c r="G206" s="23" t="s">
        <v>270</v>
      </c>
      <c r="H206" s="23"/>
      <c r="I206" s="23"/>
      <c r="J206" s="126">
        <f t="shared" ref="J206:K206" si="220">J$121 * J146</f>
        <v>0</v>
      </c>
      <c r="K206" s="126">
        <f t="shared" si="220"/>
        <v>0</v>
      </c>
      <c r="L206" s="126">
        <f t="shared" ref="L206:M206" si="221">L$121 * L146</f>
        <v>0</v>
      </c>
      <c r="M206" s="126">
        <f t="shared" si="221"/>
        <v>0</v>
      </c>
      <c r="N206" s="126">
        <f t="shared" ref="N206:P206" si="222">N$121 * N146</f>
        <v>0</v>
      </c>
      <c r="O206" s="126">
        <f t="shared" si="222"/>
        <v>0</v>
      </c>
      <c r="P206" s="126">
        <f t="shared" si="222"/>
        <v>0</v>
      </c>
      <c r="Q206" s="126">
        <f t="shared" ref="Q206:S206" si="223">Q$121 * Q146</f>
        <v>0</v>
      </c>
      <c r="R206" s="126">
        <f t="shared" si="223"/>
        <v>0</v>
      </c>
      <c r="S206" s="126">
        <f t="shared" si="223"/>
        <v>0</v>
      </c>
      <c r="T206" s="126">
        <f t="shared" ref="T206" si="224">T$121 * T146</f>
        <v>0</v>
      </c>
      <c r="U206" s="83"/>
      <c r="V206" s="83"/>
      <c r="W206" s="83"/>
      <c r="X206" s="83"/>
      <c r="Y206" s="83"/>
      <c r="Z206" s="83"/>
      <c r="AA206" s="83"/>
      <c r="AB206" s="83"/>
    </row>
    <row r="207" spans="3:28" x14ac:dyDescent="0.25">
      <c r="C207" s="88"/>
      <c r="D207"/>
      <c r="F207" t="s">
        <v>190</v>
      </c>
      <c r="G207" t="s">
        <v>270</v>
      </c>
      <c r="J207" s="98">
        <f t="shared" ref="J207:K207" si="225">J$121 * J147</f>
        <v>0</v>
      </c>
      <c r="K207" s="98">
        <f t="shared" si="225"/>
        <v>0</v>
      </c>
      <c r="L207" s="98">
        <f t="shared" ref="L207:M207" si="226">L$121 * L147</f>
        <v>0</v>
      </c>
      <c r="M207" s="98">
        <f t="shared" si="226"/>
        <v>0</v>
      </c>
      <c r="N207" s="98">
        <f t="shared" ref="N207:P207" si="227">N$121 * N147</f>
        <v>0</v>
      </c>
      <c r="O207" s="98">
        <f t="shared" si="227"/>
        <v>0</v>
      </c>
      <c r="P207" s="98">
        <f t="shared" si="227"/>
        <v>0</v>
      </c>
      <c r="Q207" s="98">
        <f t="shared" ref="Q207:S207" si="228">Q$121 * Q147</f>
        <v>0</v>
      </c>
      <c r="R207" s="98">
        <f t="shared" si="228"/>
        <v>0</v>
      </c>
      <c r="S207" s="98">
        <f t="shared" si="228"/>
        <v>0</v>
      </c>
      <c r="T207" s="98">
        <f t="shared" ref="T207" si="229">T$121 * T147</f>
        <v>0</v>
      </c>
      <c r="U207" s="79"/>
      <c r="V207" s="79"/>
      <c r="W207" s="79"/>
      <c r="X207" s="79"/>
      <c r="Y207" s="79"/>
      <c r="Z207" s="79"/>
      <c r="AA207" s="79"/>
      <c r="AB207" s="79"/>
    </row>
    <row r="208" spans="3:28" x14ac:dyDescent="0.25">
      <c r="C208" s="88"/>
      <c r="D208"/>
      <c r="F208" t="s">
        <v>191</v>
      </c>
      <c r="G208" t="s">
        <v>270</v>
      </c>
      <c r="J208" s="98">
        <f t="shared" ref="J208:K208" si="230">J$121 * J148</f>
        <v>0</v>
      </c>
      <c r="K208" s="98">
        <f t="shared" si="230"/>
        <v>0</v>
      </c>
      <c r="L208" s="98">
        <f t="shared" ref="L208:M208" si="231">L$121 * L148</f>
        <v>0</v>
      </c>
      <c r="M208" s="98">
        <f t="shared" si="231"/>
        <v>0</v>
      </c>
      <c r="N208" s="98">
        <f t="shared" ref="N208:P208" si="232">N$121 * N148</f>
        <v>0</v>
      </c>
      <c r="O208" s="98">
        <f t="shared" si="232"/>
        <v>0</v>
      </c>
      <c r="P208" s="98">
        <f t="shared" si="232"/>
        <v>0</v>
      </c>
      <c r="Q208" s="98">
        <f t="shared" ref="Q208:S208" si="233">Q$121 * Q148</f>
        <v>0</v>
      </c>
      <c r="R208" s="98">
        <f t="shared" si="233"/>
        <v>0</v>
      </c>
      <c r="S208" s="98">
        <f t="shared" si="233"/>
        <v>0</v>
      </c>
      <c r="T208" s="98">
        <f t="shared" ref="T208" si="234">T$121 * T148</f>
        <v>0</v>
      </c>
      <c r="U208" s="79"/>
      <c r="V208" s="79"/>
      <c r="W208" s="79"/>
      <c r="X208" s="79"/>
      <c r="Y208" s="79"/>
      <c r="Z208" s="79"/>
      <c r="AA208" s="79"/>
      <c r="AB208" s="79"/>
    </row>
    <row r="209" spans="3:30" x14ac:dyDescent="0.25">
      <c r="C209" s="88"/>
      <c r="D209"/>
      <c r="F209" t="s">
        <v>192</v>
      </c>
      <c r="G209" t="s">
        <v>270</v>
      </c>
      <c r="J209" s="98">
        <f t="shared" ref="J209:K209" si="235">J$121 * J149</f>
        <v>0</v>
      </c>
      <c r="K209" s="98">
        <f t="shared" si="235"/>
        <v>0</v>
      </c>
      <c r="L209" s="98">
        <f t="shared" ref="L209:M209" si="236">L$121 * L149</f>
        <v>0</v>
      </c>
      <c r="M209" s="98">
        <f t="shared" si="236"/>
        <v>0</v>
      </c>
      <c r="N209" s="98">
        <f t="shared" ref="N209:P209" si="237">N$121 * N149</f>
        <v>0</v>
      </c>
      <c r="O209" s="98">
        <f t="shared" si="237"/>
        <v>0</v>
      </c>
      <c r="P209" s="98">
        <f t="shared" si="237"/>
        <v>0</v>
      </c>
      <c r="Q209" s="98">
        <f t="shared" ref="Q209:S209" si="238">Q$121 * Q149</f>
        <v>0</v>
      </c>
      <c r="R209" s="98">
        <f t="shared" si="238"/>
        <v>0</v>
      </c>
      <c r="S209" s="98">
        <f t="shared" si="238"/>
        <v>0</v>
      </c>
      <c r="T209" s="98">
        <f t="shared" ref="T209" si="239">T$121 * T149</f>
        <v>0</v>
      </c>
      <c r="U209" s="79"/>
      <c r="V209" s="79"/>
      <c r="W209" s="79"/>
      <c r="X209" s="79"/>
      <c r="Y209" s="79"/>
      <c r="Z209" s="79"/>
      <c r="AA209" s="79"/>
      <c r="AB209" s="79"/>
    </row>
    <row r="210" spans="3:30" x14ac:dyDescent="0.25">
      <c r="C210" s="88"/>
      <c r="D210"/>
      <c r="F210" t="s">
        <v>193</v>
      </c>
      <c r="G210" t="s">
        <v>270</v>
      </c>
      <c r="J210" s="98">
        <f t="shared" ref="J210:K210" si="240">J$121 * J150</f>
        <v>0</v>
      </c>
      <c r="K210" s="98">
        <f t="shared" si="240"/>
        <v>0</v>
      </c>
      <c r="L210" s="98">
        <f t="shared" ref="L210:M210" si="241">L$121 * L150</f>
        <v>0</v>
      </c>
      <c r="M210" s="98">
        <f t="shared" si="241"/>
        <v>0</v>
      </c>
      <c r="N210" s="98">
        <f t="shared" ref="N210:P210" si="242">N$121 * N150</f>
        <v>0</v>
      </c>
      <c r="O210" s="98">
        <f t="shared" si="242"/>
        <v>0</v>
      </c>
      <c r="P210" s="98">
        <f t="shared" si="242"/>
        <v>0.38899959063332851</v>
      </c>
      <c r="Q210" s="98">
        <f t="shared" ref="Q210:S210" si="243">Q$121 * Q150</f>
        <v>0</v>
      </c>
      <c r="R210" s="98">
        <f t="shared" si="243"/>
        <v>0</v>
      </c>
      <c r="S210" s="98">
        <f t="shared" si="243"/>
        <v>0.38899959063332851</v>
      </c>
      <c r="T210" s="98">
        <f t="shared" ref="T210" si="244">T$121 * T150</f>
        <v>0</v>
      </c>
      <c r="U210" s="79"/>
      <c r="V210" s="79"/>
      <c r="W210" s="79"/>
      <c r="X210" s="79"/>
      <c r="Y210" s="79"/>
      <c r="Z210" s="79"/>
      <c r="AA210" s="79"/>
      <c r="AB210" s="79"/>
    </row>
    <row r="211" spans="3:30" x14ac:dyDescent="0.25">
      <c r="C211" s="88"/>
      <c r="D211"/>
      <c r="F211" t="s">
        <v>194</v>
      </c>
      <c r="G211" t="s">
        <v>270</v>
      </c>
      <c r="J211" s="98">
        <f t="shared" ref="J211:K211" si="245">J$121 * J151</f>
        <v>0</v>
      </c>
      <c r="K211" s="98">
        <f t="shared" si="245"/>
        <v>0</v>
      </c>
      <c r="L211" s="98">
        <f t="shared" ref="L211:M211" si="246">L$121 * L151</f>
        <v>0</v>
      </c>
      <c r="M211" s="98">
        <f t="shared" si="246"/>
        <v>0</v>
      </c>
      <c r="N211" s="98">
        <f t="shared" ref="N211:P211" si="247">N$121 * N151</f>
        <v>0</v>
      </c>
      <c r="O211" s="98">
        <f t="shared" si="247"/>
        <v>0</v>
      </c>
      <c r="P211" s="98">
        <f t="shared" si="247"/>
        <v>0.49839583184405867</v>
      </c>
      <c r="Q211" s="98">
        <f t="shared" ref="Q211:S211" si="248">Q$121 * Q151</f>
        <v>0</v>
      </c>
      <c r="R211" s="98">
        <f t="shared" si="248"/>
        <v>0</v>
      </c>
      <c r="S211" s="98">
        <f t="shared" si="248"/>
        <v>0.49839583184405867</v>
      </c>
      <c r="T211" s="98">
        <f t="shared" ref="T211" si="249">T$121 * T151</f>
        <v>0</v>
      </c>
      <c r="U211" s="79"/>
      <c r="V211" s="79"/>
      <c r="W211" s="79"/>
      <c r="X211" s="79"/>
      <c r="Y211" s="79"/>
      <c r="Z211" s="79"/>
      <c r="AA211" s="79"/>
      <c r="AB211" s="79"/>
    </row>
    <row r="212" spans="3:30" x14ac:dyDescent="0.25">
      <c r="C212" s="88"/>
      <c r="D212"/>
      <c r="F212" t="s">
        <v>195</v>
      </c>
      <c r="G212" t="s">
        <v>270</v>
      </c>
      <c r="J212" s="98">
        <f t="shared" ref="J212:K212" si="250">J$121 * J152</f>
        <v>0</v>
      </c>
      <c r="K212" s="98">
        <f t="shared" si="250"/>
        <v>0</v>
      </c>
      <c r="L212" s="98">
        <f t="shared" ref="L212:M212" si="251">L$121 * L152</f>
        <v>0</v>
      </c>
      <c r="M212" s="98">
        <f t="shared" si="251"/>
        <v>0</v>
      </c>
      <c r="N212" s="98">
        <f t="shared" ref="N212:P212" si="252">N$121 * N152</f>
        <v>0</v>
      </c>
      <c r="O212" s="98">
        <f t="shared" si="252"/>
        <v>0</v>
      </c>
      <c r="P212" s="98">
        <f t="shared" si="252"/>
        <v>0</v>
      </c>
      <c r="Q212" s="98">
        <f t="shared" ref="Q212:S212" si="253">Q$121 * Q152</f>
        <v>0</v>
      </c>
      <c r="R212" s="98">
        <f t="shared" si="253"/>
        <v>0</v>
      </c>
      <c r="S212" s="98">
        <f t="shared" si="253"/>
        <v>0</v>
      </c>
      <c r="T212" s="98">
        <f t="shared" ref="T212" si="254">T$121 * T152</f>
        <v>0</v>
      </c>
      <c r="U212" s="79"/>
      <c r="V212" s="79"/>
      <c r="W212" s="79"/>
      <c r="X212" s="79"/>
      <c r="Y212" s="79"/>
      <c r="Z212" s="79"/>
      <c r="AA212" s="79"/>
      <c r="AB212" s="79"/>
    </row>
    <row r="213" spans="3:30" x14ac:dyDescent="0.25">
      <c r="C213" s="88"/>
      <c r="D213"/>
      <c r="F213" t="s">
        <v>196</v>
      </c>
      <c r="G213" t="s">
        <v>270</v>
      </c>
      <c r="J213" s="98">
        <f t="shared" ref="J213:K213" si="255">J$121 * J153</f>
        <v>0</v>
      </c>
      <c r="K213" s="98">
        <f t="shared" si="255"/>
        <v>0</v>
      </c>
      <c r="L213" s="98">
        <f t="shared" ref="L213:M213" si="256">L$121 * L153</f>
        <v>0</v>
      </c>
      <c r="M213" s="98">
        <f t="shared" si="256"/>
        <v>0</v>
      </c>
      <c r="N213" s="98">
        <f t="shared" ref="N213:P213" si="257">N$121 * N153</f>
        <v>0.36713230228035904</v>
      </c>
      <c r="O213" s="98">
        <f t="shared" si="257"/>
        <v>1.7453830764148219</v>
      </c>
      <c r="P213" s="98">
        <f t="shared" si="257"/>
        <v>1.7152902647524968</v>
      </c>
      <c r="Q213" s="98">
        <f t="shared" ref="Q213:S213" si="258">Q$121 * Q153</f>
        <v>0.36713230228035904</v>
      </c>
      <c r="R213" s="98">
        <f t="shared" si="258"/>
        <v>1.7453830764148219</v>
      </c>
      <c r="S213" s="98">
        <f t="shared" si="258"/>
        <v>1.7152902647524968</v>
      </c>
      <c r="T213" s="98">
        <f t="shared" ref="T213" si="259">T$121 * T153</f>
        <v>0</v>
      </c>
      <c r="U213" s="79"/>
      <c r="V213" s="79"/>
      <c r="W213" s="79"/>
      <c r="X213" s="79"/>
      <c r="Y213" s="79"/>
      <c r="Z213" s="79"/>
      <c r="AA213" s="79"/>
      <c r="AB213" s="79"/>
    </row>
    <row r="214" spans="3:30" x14ac:dyDescent="0.25">
      <c r="C214" s="88"/>
      <c r="D214"/>
      <c r="F214" t="s">
        <v>197</v>
      </c>
      <c r="G214" t="s">
        <v>270</v>
      </c>
      <c r="J214" s="98">
        <f t="shared" ref="J214:K214" si="260">J$121 * J154</f>
        <v>0</v>
      </c>
      <c r="K214" s="98">
        <f t="shared" si="260"/>
        <v>0</v>
      </c>
      <c r="L214" s="98">
        <f t="shared" ref="L214:M214" si="261">L$121 * L154</f>
        <v>0</v>
      </c>
      <c r="M214" s="98">
        <f t="shared" si="261"/>
        <v>0</v>
      </c>
      <c r="N214" s="98">
        <f t="shared" ref="N214:P214" si="262">N$121 * N154</f>
        <v>0.4613537153519332</v>
      </c>
      <c r="O214" s="98">
        <f t="shared" si="262"/>
        <v>0.438664188367412</v>
      </c>
      <c r="P214" s="98">
        <f t="shared" si="262"/>
        <v>0</v>
      </c>
      <c r="Q214" s="98">
        <f t="shared" ref="Q214:S214" si="263">Q$121 * Q154</f>
        <v>0.4613537153519332</v>
      </c>
      <c r="R214" s="98">
        <f t="shared" si="263"/>
        <v>0.438664188367412</v>
      </c>
      <c r="S214" s="98">
        <f t="shared" si="263"/>
        <v>0</v>
      </c>
      <c r="T214" s="98">
        <f t="shared" ref="T214" si="264">T$121 * T154</f>
        <v>0</v>
      </c>
      <c r="U214" s="79"/>
      <c r="V214" s="79"/>
      <c r="W214" s="79"/>
      <c r="X214" s="79"/>
      <c r="Y214" s="79"/>
      <c r="Z214" s="79"/>
      <c r="AA214" s="79"/>
      <c r="AB214" s="79"/>
    </row>
    <row r="215" spans="3:30" x14ac:dyDescent="0.25">
      <c r="C215" s="88"/>
      <c r="D215"/>
      <c r="F215" t="s">
        <v>198</v>
      </c>
      <c r="G215" t="s">
        <v>270</v>
      </c>
      <c r="J215" s="98">
        <f t="shared" ref="J215:K215" si="265">J$121 * J155</f>
        <v>0</v>
      </c>
      <c r="K215" s="98">
        <f t="shared" si="265"/>
        <v>0</v>
      </c>
      <c r="L215" s="98">
        <f t="shared" ref="L215:M215" si="266">L$121 * L155</f>
        <v>0</v>
      </c>
      <c r="M215" s="98">
        <f t="shared" si="266"/>
        <v>0</v>
      </c>
      <c r="N215" s="98">
        <f t="shared" ref="N215:P215" si="267">N$121 * N155</f>
        <v>0.74020135576371915</v>
      </c>
      <c r="O215" s="98">
        <f t="shared" si="267"/>
        <v>0</v>
      </c>
      <c r="P215" s="98">
        <f t="shared" si="267"/>
        <v>0</v>
      </c>
      <c r="Q215" s="98">
        <f t="shared" ref="Q215:S215" si="268">Q$121 * Q155</f>
        <v>0.74020135576371915</v>
      </c>
      <c r="R215" s="98">
        <f t="shared" si="268"/>
        <v>0</v>
      </c>
      <c r="S215" s="98">
        <f t="shared" si="268"/>
        <v>0</v>
      </c>
      <c r="T215" s="98">
        <f t="shared" ref="T215" si="269">T$121 * T155</f>
        <v>0</v>
      </c>
      <c r="U215" s="79"/>
      <c r="V215" s="79"/>
      <c r="W215" s="79"/>
      <c r="X215" s="79"/>
      <c r="Y215" s="79"/>
      <c r="Z215" s="79"/>
      <c r="AA215" s="79"/>
      <c r="AB215" s="79"/>
    </row>
    <row r="216" spans="3:30" x14ac:dyDescent="0.25">
      <c r="C216" s="88"/>
      <c r="D216"/>
      <c r="F216" t="s">
        <v>375</v>
      </c>
      <c r="G216" t="s">
        <v>270</v>
      </c>
      <c r="J216" s="79"/>
      <c r="K216" s="79"/>
      <c r="L216" s="79"/>
      <c r="M216" s="79"/>
      <c r="N216" s="79"/>
      <c r="O216" s="79"/>
      <c r="P216" s="79"/>
      <c r="Q216" s="79"/>
      <c r="R216" s="79"/>
      <c r="S216" s="79"/>
      <c r="T216" s="79"/>
      <c r="U216" s="79"/>
      <c r="V216" s="79"/>
      <c r="W216" s="79"/>
      <c r="X216" s="79"/>
      <c r="Y216" s="79"/>
      <c r="Z216" s="79"/>
      <c r="AA216" s="79"/>
      <c r="AB216" s="79"/>
    </row>
    <row r="217" spans="3:30" x14ac:dyDescent="0.25">
      <c r="C217" s="88"/>
      <c r="D217"/>
      <c r="F217" s="37" t="s">
        <v>376</v>
      </c>
      <c r="G217" s="37" t="s">
        <v>270</v>
      </c>
      <c r="H217" s="37"/>
      <c r="I217" s="37"/>
      <c r="J217" s="81"/>
      <c r="K217" s="81"/>
      <c r="L217" s="81"/>
      <c r="M217" s="81"/>
      <c r="N217" s="81"/>
      <c r="O217" s="81"/>
      <c r="P217" s="81"/>
      <c r="Q217" s="81"/>
      <c r="R217" s="81"/>
      <c r="S217" s="81"/>
      <c r="T217" s="81"/>
      <c r="U217" s="81"/>
      <c r="V217" s="81"/>
      <c r="W217" s="81"/>
      <c r="X217" s="81"/>
      <c r="Y217" s="81"/>
      <c r="Z217" s="81"/>
      <c r="AA217" s="81"/>
      <c r="AB217" s="81"/>
    </row>
    <row r="218" spans="3:30" x14ac:dyDescent="0.25">
      <c r="C218" s="88"/>
      <c r="J218" s="89"/>
      <c r="K218" s="89"/>
      <c r="L218" s="89"/>
      <c r="M218" s="89"/>
      <c r="N218" s="89"/>
      <c r="O218" s="89"/>
      <c r="P218" s="89"/>
      <c r="Q218" s="89"/>
      <c r="R218" s="89"/>
      <c r="S218" s="89"/>
      <c r="T218" s="89"/>
      <c r="U218" s="89"/>
      <c r="V218" s="89"/>
      <c r="W218" s="89"/>
      <c r="X218" s="89"/>
      <c r="Y218" s="89"/>
      <c r="Z218" s="89"/>
      <c r="AA218" s="89"/>
      <c r="AB218" s="89"/>
    </row>
    <row r="219" spans="3:30" x14ac:dyDescent="0.25">
      <c r="C219" s="31" t="str">
        <f ca="1">INDEX('Version control'!$H$34:$H$57,MATCH($A$1,'Version control'!$F$34:$F$57,0),1)&amp;"-E: Exceeded capacity charges for eligible customers, by network level"</f>
        <v>Section 113-E: Exceeded capacity charges for eligible customers, by network level</v>
      </c>
      <c r="D219" s="31"/>
      <c r="E219" s="31"/>
      <c r="F219" s="31"/>
      <c r="G219" s="31"/>
      <c r="H219" s="31"/>
      <c r="I219" s="31"/>
      <c r="J219" s="90"/>
      <c r="K219" s="90"/>
      <c r="L219" s="90"/>
      <c r="M219" s="90"/>
      <c r="N219" s="90"/>
      <c r="O219" s="90"/>
      <c r="P219" s="90"/>
      <c r="Q219" s="90"/>
      <c r="R219" s="90"/>
      <c r="S219" s="90"/>
      <c r="T219" s="90"/>
      <c r="U219" s="90"/>
      <c r="V219" s="90"/>
      <c r="W219" s="90"/>
      <c r="X219" s="90"/>
      <c r="Y219" s="90"/>
      <c r="Z219" s="90"/>
      <c r="AA219" s="90"/>
      <c r="AB219" s="90"/>
      <c r="AC219" s="31"/>
      <c r="AD219" s="31"/>
    </row>
    <row r="220" spans="3:30" x14ac:dyDescent="0.25">
      <c r="D220" s="32"/>
      <c r="E220" s="32"/>
      <c r="I220" t="s">
        <v>153</v>
      </c>
      <c r="J220" s="89"/>
      <c r="K220" s="89"/>
      <c r="L220" s="89"/>
      <c r="M220" s="89"/>
      <c r="N220" s="89"/>
      <c r="O220" s="89"/>
      <c r="P220" s="89"/>
      <c r="Q220" s="89"/>
      <c r="R220" s="89"/>
      <c r="S220" s="89"/>
      <c r="T220" s="89"/>
      <c r="U220" s="89"/>
      <c r="V220" s="89"/>
      <c r="W220" s="89"/>
      <c r="X220" s="89"/>
      <c r="Y220" s="89"/>
      <c r="Z220" s="89"/>
      <c r="AA220" s="89"/>
      <c r="AB220" s="89"/>
      <c r="AD220" t="s">
        <v>705</v>
      </c>
    </row>
    <row r="221" spans="3:30" x14ac:dyDescent="0.25">
      <c r="C221" s="88"/>
      <c r="D221"/>
      <c r="E221" s="32" t="s">
        <v>620</v>
      </c>
      <c r="J221" s="89"/>
      <c r="K221" s="89"/>
      <c r="L221" s="89"/>
      <c r="M221" s="89"/>
      <c r="N221" s="89"/>
      <c r="O221" s="89"/>
      <c r="P221" s="89"/>
      <c r="Q221" s="89"/>
      <c r="R221" s="89"/>
      <c r="S221" s="89"/>
      <c r="T221" s="89"/>
      <c r="U221" s="89"/>
      <c r="V221" s="89"/>
      <c r="W221" s="89"/>
      <c r="X221" s="89"/>
      <c r="Y221" s="89"/>
      <c r="Z221" s="89"/>
      <c r="AA221" s="89"/>
      <c r="AB221" s="89"/>
    </row>
    <row r="222" spans="3:30" x14ac:dyDescent="0.25">
      <c r="C222" s="88"/>
      <c r="D222"/>
      <c r="F222" s="23" t="s">
        <v>188</v>
      </c>
      <c r="G222" s="23" t="s">
        <v>270</v>
      </c>
      <c r="H222" s="23"/>
      <c r="I222" s="23"/>
      <c r="J222" s="83"/>
      <c r="K222" s="83"/>
      <c r="L222" s="83"/>
      <c r="M222" s="83"/>
      <c r="N222" s="83"/>
      <c r="O222" s="83"/>
      <c r="P222" s="83"/>
      <c r="Q222" s="83"/>
      <c r="R222" s="83"/>
      <c r="S222" s="83"/>
      <c r="T222" s="83"/>
      <c r="U222" s="83"/>
      <c r="V222" s="83"/>
      <c r="W222" s="83"/>
      <c r="X222" s="83"/>
      <c r="Y222" s="83"/>
      <c r="Z222" s="83"/>
      <c r="AA222" s="83"/>
      <c r="AB222" s="83"/>
    </row>
    <row r="223" spans="3:30" x14ac:dyDescent="0.25">
      <c r="C223" s="88"/>
      <c r="D223"/>
      <c r="F223" t="s">
        <v>190</v>
      </c>
      <c r="G223" t="s">
        <v>270</v>
      </c>
      <c r="J223" s="79"/>
      <c r="K223" s="79"/>
      <c r="L223" s="79"/>
      <c r="M223" s="79"/>
      <c r="N223" s="79"/>
      <c r="O223" s="79"/>
      <c r="P223" s="79"/>
      <c r="Q223" s="79"/>
      <c r="R223" s="79"/>
      <c r="S223" s="79"/>
      <c r="T223" s="79"/>
      <c r="U223" s="79"/>
      <c r="V223" s="79"/>
      <c r="W223" s="79"/>
      <c r="X223" s="79"/>
      <c r="Y223" s="79"/>
      <c r="Z223" s="79"/>
      <c r="AA223" s="79"/>
      <c r="AB223" s="79"/>
    </row>
    <row r="224" spans="3:30" x14ac:dyDescent="0.25">
      <c r="C224" s="88"/>
      <c r="D224"/>
      <c r="F224" t="s">
        <v>191</v>
      </c>
      <c r="G224" t="s">
        <v>270</v>
      </c>
      <c r="J224" s="98">
        <f t="shared" ref="J224:K224" si="270">J$122 * J164</f>
        <v>0</v>
      </c>
      <c r="K224" s="98">
        <f t="shared" si="270"/>
        <v>0</v>
      </c>
      <c r="L224" s="98">
        <f t="shared" ref="L224:M224" si="271">L$122 * L164</f>
        <v>0</v>
      </c>
      <c r="M224" s="98">
        <f t="shared" si="271"/>
        <v>0</v>
      </c>
      <c r="N224" s="98">
        <f t="shared" ref="N224:P224" si="272">N$122 * N164</f>
        <v>0</v>
      </c>
      <c r="O224" s="98">
        <f t="shared" si="272"/>
        <v>0</v>
      </c>
      <c r="P224" s="98">
        <f t="shared" si="272"/>
        <v>0</v>
      </c>
      <c r="Q224" s="98">
        <f t="shared" ref="Q224:S224" si="273">Q$122 * Q164</f>
        <v>0</v>
      </c>
      <c r="R224" s="98">
        <f t="shared" si="273"/>
        <v>0</v>
      </c>
      <c r="S224" s="98">
        <f t="shared" si="273"/>
        <v>0</v>
      </c>
      <c r="T224" s="98">
        <f t="shared" ref="T224" si="274">T$122 * T164</f>
        <v>0</v>
      </c>
      <c r="U224" s="79"/>
      <c r="V224" s="79"/>
      <c r="W224" s="79"/>
      <c r="X224" s="79"/>
      <c r="Y224" s="79"/>
      <c r="Z224" s="79"/>
      <c r="AA224" s="79"/>
      <c r="AB224" s="79"/>
    </row>
    <row r="225" spans="3:28" x14ac:dyDescent="0.25">
      <c r="C225" s="88"/>
      <c r="D225"/>
      <c r="F225" t="s">
        <v>192</v>
      </c>
      <c r="G225" t="s">
        <v>270</v>
      </c>
      <c r="J225" s="98">
        <f t="shared" ref="J225:K225" si="275">J$122 * J165</f>
        <v>0</v>
      </c>
      <c r="K225" s="98">
        <f t="shared" si="275"/>
        <v>0</v>
      </c>
      <c r="L225" s="98">
        <f t="shared" ref="L225:M225" si="276">L$122 * L165</f>
        <v>0</v>
      </c>
      <c r="M225" s="98">
        <f t="shared" si="276"/>
        <v>0</v>
      </c>
      <c r="N225" s="98">
        <f t="shared" ref="N225:P225" si="277">N$122 * N165</f>
        <v>0</v>
      </c>
      <c r="O225" s="98">
        <f t="shared" si="277"/>
        <v>0</v>
      </c>
      <c r="P225" s="98">
        <f t="shared" si="277"/>
        <v>0</v>
      </c>
      <c r="Q225" s="98">
        <f t="shared" ref="Q225:S225" si="278">Q$122 * Q165</f>
        <v>0</v>
      </c>
      <c r="R225" s="98">
        <f t="shared" si="278"/>
        <v>0</v>
      </c>
      <c r="S225" s="98">
        <f t="shared" si="278"/>
        <v>0</v>
      </c>
      <c r="T225" s="98">
        <f t="shared" ref="T225" si="279">T$122 * T165</f>
        <v>0</v>
      </c>
      <c r="U225" s="79"/>
      <c r="V225" s="79"/>
      <c r="W225" s="79"/>
      <c r="X225" s="79"/>
      <c r="Y225" s="79"/>
      <c r="Z225" s="79"/>
      <c r="AA225" s="79"/>
      <c r="AB225" s="79"/>
    </row>
    <row r="226" spans="3:28" x14ac:dyDescent="0.25">
      <c r="C226" s="88"/>
      <c r="D226"/>
      <c r="F226" t="s">
        <v>193</v>
      </c>
      <c r="G226" t="s">
        <v>270</v>
      </c>
      <c r="J226" s="98">
        <f t="shared" ref="J226:K226" si="280">J$122 * J166</f>
        <v>0</v>
      </c>
      <c r="K226" s="98">
        <f t="shared" si="280"/>
        <v>0</v>
      </c>
      <c r="L226" s="98">
        <f t="shared" ref="L226:M226" si="281">L$122 * L166</f>
        <v>0</v>
      </c>
      <c r="M226" s="98">
        <f t="shared" si="281"/>
        <v>0</v>
      </c>
      <c r="N226" s="98">
        <f t="shared" ref="N226:P226" si="282">N$122 * N166</f>
        <v>0</v>
      </c>
      <c r="O226" s="98">
        <f t="shared" si="282"/>
        <v>0</v>
      </c>
      <c r="P226" s="98">
        <f t="shared" si="282"/>
        <v>0.52635555472228934</v>
      </c>
      <c r="Q226" s="98">
        <f t="shared" ref="Q226:S226" si="283">Q$122 * Q166</f>
        <v>0</v>
      </c>
      <c r="R226" s="98">
        <f t="shared" si="283"/>
        <v>0</v>
      </c>
      <c r="S226" s="98">
        <f t="shared" si="283"/>
        <v>0.52635555472228934</v>
      </c>
      <c r="T226" s="98">
        <f t="shared" ref="T226" si="284">T$122 * T166</f>
        <v>0</v>
      </c>
      <c r="U226" s="79"/>
      <c r="V226" s="79"/>
      <c r="W226" s="79"/>
      <c r="X226" s="79"/>
      <c r="Y226" s="79"/>
      <c r="Z226" s="79"/>
      <c r="AA226" s="79"/>
      <c r="AB226" s="79"/>
    </row>
    <row r="227" spans="3:28" x14ac:dyDescent="0.25">
      <c r="C227" s="88"/>
      <c r="D227"/>
      <c r="F227" t="s">
        <v>194</v>
      </c>
      <c r="G227" t="s">
        <v>270</v>
      </c>
      <c r="J227" s="98">
        <f t="shared" ref="J227:K227" si="285">J$122 * J167</f>
        <v>0</v>
      </c>
      <c r="K227" s="98">
        <f t="shared" si="285"/>
        <v>0</v>
      </c>
      <c r="L227" s="98">
        <f t="shared" ref="L227:M227" si="286">L$122 * L167</f>
        <v>0</v>
      </c>
      <c r="M227" s="98">
        <f t="shared" si="286"/>
        <v>0</v>
      </c>
      <c r="N227" s="98">
        <f t="shared" ref="N227:P227" si="287">N$122 * N167</f>
        <v>0</v>
      </c>
      <c r="O227" s="98">
        <f t="shared" si="287"/>
        <v>0</v>
      </c>
      <c r="P227" s="98">
        <f t="shared" si="287"/>
        <v>0.67437966737819066</v>
      </c>
      <c r="Q227" s="98">
        <f t="shared" ref="Q227:S227" si="288">Q$122 * Q167</f>
        <v>0</v>
      </c>
      <c r="R227" s="98">
        <f t="shared" si="288"/>
        <v>0</v>
      </c>
      <c r="S227" s="98">
        <f t="shared" si="288"/>
        <v>0.67437966737819066</v>
      </c>
      <c r="T227" s="98">
        <f t="shared" ref="T227" si="289">T$122 * T167</f>
        <v>0</v>
      </c>
      <c r="U227" s="79"/>
      <c r="V227" s="79"/>
      <c r="W227" s="79"/>
      <c r="X227" s="79"/>
      <c r="Y227" s="79"/>
      <c r="Z227" s="79"/>
      <c r="AA227" s="79"/>
      <c r="AB227" s="79"/>
    </row>
    <row r="228" spans="3:28" x14ac:dyDescent="0.25">
      <c r="C228" s="88"/>
      <c r="D228"/>
      <c r="F228" t="s">
        <v>195</v>
      </c>
      <c r="G228" t="s">
        <v>270</v>
      </c>
      <c r="J228" s="98">
        <f t="shared" ref="J228:K228" si="290">J$122 * J168</f>
        <v>0</v>
      </c>
      <c r="K228" s="98">
        <f t="shared" si="290"/>
        <v>0</v>
      </c>
      <c r="L228" s="98">
        <f t="shared" ref="L228:M228" si="291">L$122 * L168</f>
        <v>0</v>
      </c>
      <c r="M228" s="98">
        <f t="shared" si="291"/>
        <v>0</v>
      </c>
      <c r="N228" s="98">
        <f t="shared" ref="N228:P228" si="292">N$122 * N168</f>
        <v>0</v>
      </c>
      <c r="O228" s="98">
        <f t="shared" si="292"/>
        <v>0</v>
      </c>
      <c r="P228" s="98">
        <f t="shared" si="292"/>
        <v>0</v>
      </c>
      <c r="Q228" s="98">
        <f t="shared" ref="Q228:S228" si="293">Q$122 * Q168</f>
        <v>0</v>
      </c>
      <c r="R228" s="98">
        <f t="shared" si="293"/>
        <v>0</v>
      </c>
      <c r="S228" s="98">
        <f t="shared" si="293"/>
        <v>0</v>
      </c>
      <c r="T228" s="98">
        <f t="shared" ref="T228" si="294">T$122 * T168</f>
        <v>0</v>
      </c>
      <c r="U228" s="79"/>
      <c r="V228" s="79"/>
      <c r="W228" s="79"/>
      <c r="X228" s="79"/>
      <c r="Y228" s="79"/>
      <c r="Z228" s="79"/>
      <c r="AA228" s="79"/>
      <c r="AB228" s="79"/>
    </row>
    <row r="229" spans="3:28" x14ac:dyDescent="0.25">
      <c r="C229" s="88"/>
      <c r="D229"/>
      <c r="F229" t="s">
        <v>196</v>
      </c>
      <c r="G229" t="s">
        <v>270</v>
      </c>
      <c r="J229" s="98">
        <f t="shared" ref="J229:K229" si="295">J$122 * J169</f>
        <v>0</v>
      </c>
      <c r="K229" s="98">
        <f t="shared" si="295"/>
        <v>0</v>
      </c>
      <c r="L229" s="98">
        <f t="shared" ref="L229:M229" si="296">L$122 * L169</f>
        <v>0</v>
      </c>
      <c r="M229" s="98">
        <f t="shared" si="296"/>
        <v>0</v>
      </c>
      <c r="N229" s="98">
        <f t="shared" ref="N229:P229" si="297">N$122 * N169</f>
        <v>0.49676691512356835</v>
      </c>
      <c r="O229" s="98">
        <f t="shared" si="297"/>
        <v>2.3616787768169649</v>
      </c>
      <c r="P229" s="98">
        <f t="shared" si="297"/>
        <v>2.3209601772166724</v>
      </c>
      <c r="Q229" s="98">
        <f t="shared" ref="Q229:S229" si="298">Q$122 * Q169</f>
        <v>0.49676691512356835</v>
      </c>
      <c r="R229" s="98">
        <f t="shared" si="298"/>
        <v>2.3616787768169649</v>
      </c>
      <c r="S229" s="98">
        <f t="shared" si="298"/>
        <v>2.3209601772166724</v>
      </c>
      <c r="T229" s="98">
        <f t="shared" ref="T229" si="299">T$122 * T169</f>
        <v>0</v>
      </c>
      <c r="U229" s="79"/>
      <c r="V229" s="79"/>
      <c r="W229" s="79"/>
      <c r="X229" s="79"/>
      <c r="Y229" s="79"/>
      <c r="Z229" s="79"/>
      <c r="AA229" s="79"/>
      <c r="AB229" s="79"/>
    </row>
    <row r="230" spans="3:28" x14ac:dyDescent="0.25">
      <c r="C230" s="88"/>
      <c r="D230"/>
      <c r="F230" t="s">
        <v>197</v>
      </c>
      <c r="G230" t="s">
        <v>270</v>
      </c>
      <c r="J230" s="98">
        <f t="shared" ref="J230:K230" si="300">J$122 * J170</f>
        <v>0</v>
      </c>
      <c r="K230" s="98">
        <f t="shared" si="300"/>
        <v>0</v>
      </c>
      <c r="L230" s="98">
        <f t="shared" ref="L230:M230" si="301">L$122 * L170</f>
        <v>0</v>
      </c>
      <c r="M230" s="98">
        <f t="shared" si="301"/>
        <v>0</v>
      </c>
      <c r="N230" s="98">
        <f t="shared" ref="N230:P230" si="302">N$122 * N170</f>
        <v>0.62425795968549891</v>
      </c>
      <c r="O230" s="98">
        <f t="shared" si="302"/>
        <v>0.59355674855342522</v>
      </c>
      <c r="P230" s="98">
        <f t="shared" si="302"/>
        <v>0</v>
      </c>
      <c r="Q230" s="98">
        <f t="shared" ref="Q230:S230" si="303">Q$122 * Q170</f>
        <v>0.62425795968549891</v>
      </c>
      <c r="R230" s="98">
        <f t="shared" si="303"/>
        <v>0.59355674855342522</v>
      </c>
      <c r="S230" s="98">
        <f t="shared" si="303"/>
        <v>0</v>
      </c>
      <c r="T230" s="98">
        <f t="shared" ref="T230" si="304">T$122 * T170</f>
        <v>0</v>
      </c>
      <c r="U230" s="79"/>
      <c r="V230" s="79"/>
      <c r="W230" s="79"/>
      <c r="X230" s="79"/>
      <c r="Y230" s="79"/>
      <c r="Z230" s="79"/>
      <c r="AA230" s="79"/>
      <c r="AB230" s="79"/>
    </row>
    <row r="231" spans="3:28" x14ac:dyDescent="0.25">
      <c r="C231" s="88"/>
      <c r="D231"/>
      <c r="F231" t="s">
        <v>198</v>
      </c>
      <c r="G231" t="s">
        <v>270</v>
      </c>
      <c r="J231" s="98">
        <f t="shared" ref="J231:K231" si="305">J$122 * J171</f>
        <v>0</v>
      </c>
      <c r="K231" s="98">
        <f t="shared" si="305"/>
        <v>0</v>
      </c>
      <c r="L231" s="98">
        <f t="shared" ref="L231:M231" si="306">L$122 * L171</f>
        <v>0</v>
      </c>
      <c r="M231" s="98">
        <f t="shared" si="306"/>
        <v>0</v>
      </c>
      <c r="N231" s="98">
        <f t="shared" ref="N231:P231" si="307">N$122 * N171</f>
        <v>1.0015668514840392</v>
      </c>
      <c r="O231" s="98">
        <f t="shared" si="307"/>
        <v>0</v>
      </c>
      <c r="P231" s="98">
        <f t="shared" si="307"/>
        <v>0</v>
      </c>
      <c r="Q231" s="98">
        <f t="shared" ref="Q231:S231" si="308">Q$122 * Q171</f>
        <v>1.0015668514840392</v>
      </c>
      <c r="R231" s="98">
        <f t="shared" si="308"/>
        <v>0</v>
      </c>
      <c r="S231" s="98">
        <f t="shared" si="308"/>
        <v>0</v>
      </c>
      <c r="T231" s="98">
        <f t="shared" ref="T231" si="309">T$122 * T171</f>
        <v>0</v>
      </c>
      <c r="U231" s="79"/>
      <c r="V231" s="79"/>
      <c r="W231" s="79"/>
      <c r="X231" s="79"/>
      <c r="Y231" s="79"/>
      <c r="Z231" s="79"/>
      <c r="AA231" s="79"/>
      <c r="AB231" s="79"/>
    </row>
    <row r="232" spans="3:28" x14ac:dyDescent="0.25">
      <c r="C232" s="88"/>
      <c r="D232"/>
      <c r="F232" t="s">
        <v>375</v>
      </c>
      <c r="G232" t="s">
        <v>270</v>
      </c>
      <c r="J232" s="79"/>
      <c r="K232" s="79"/>
      <c r="L232" s="79"/>
      <c r="M232" s="79"/>
      <c r="N232" s="79"/>
      <c r="O232" s="79"/>
      <c r="P232" s="79"/>
      <c r="Q232" s="79"/>
      <c r="R232" s="79"/>
      <c r="S232" s="79"/>
      <c r="T232" s="79"/>
      <c r="U232" s="79"/>
      <c r="V232" s="79"/>
      <c r="W232" s="79"/>
      <c r="X232" s="79"/>
      <c r="Y232" s="79"/>
      <c r="Z232" s="79"/>
      <c r="AA232" s="79"/>
      <c r="AB232" s="79"/>
    </row>
    <row r="233" spans="3:28" x14ac:dyDescent="0.25">
      <c r="C233" s="88"/>
      <c r="D233"/>
      <c r="F233" s="37" t="s">
        <v>376</v>
      </c>
      <c r="G233" s="37" t="s">
        <v>270</v>
      </c>
      <c r="H233" s="37"/>
      <c r="I233" s="37"/>
      <c r="J233" s="81"/>
      <c r="K233" s="81"/>
      <c r="L233" s="81"/>
      <c r="M233" s="81"/>
      <c r="N233" s="81"/>
      <c r="O233" s="81"/>
      <c r="P233" s="81"/>
      <c r="Q233" s="81"/>
      <c r="R233" s="81"/>
      <c r="S233" s="81"/>
      <c r="T233" s="81"/>
      <c r="U233" s="81"/>
      <c r="V233" s="81"/>
      <c r="W233" s="81"/>
      <c r="X233" s="81"/>
      <c r="Y233" s="81"/>
      <c r="Z233" s="81"/>
      <c r="AA233" s="81"/>
      <c r="AB233" s="81"/>
    </row>
    <row r="234" spans="3:28" x14ac:dyDescent="0.25">
      <c r="C234" s="88"/>
      <c r="D234"/>
      <c r="J234" s="89"/>
      <c r="K234" s="89"/>
      <c r="L234" s="89"/>
      <c r="M234" s="89"/>
      <c r="N234" s="89"/>
      <c r="O234" s="89"/>
      <c r="P234" s="89"/>
      <c r="Q234" s="89"/>
      <c r="R234" s="89"/>
      <c r="S234" s="89"/>
      <c r="T234" s="89"/>
      <c r="U234" s="89"/>
      <c r="V234" s="89"/>
      <c r="W234" s="89"/>
      <c r="X234" s="89"/>
      <c r="Y234" s="89"/>
      <c r="Z234" s="89"/>
      <c r="AA234" s="89"/>
      <c r="AB234" s="89"/>
    </row>
    <row r="235" spans="3:28" x14ac:dyDescent="0.25">
      <c r="C235" s="88"/>
      <c r="D235"/>
      <c r="E235" s="32" t="s">
        <v>621</v>
      </c>
      <c r="J235" s="89"/>
      <c r="K235" s="89"/>
      <c r="L235" s="89"/>
      <c r="M235" s="89"/>
      <c r="N235" s="89"/>
      <c r="O235" s="89"/>
      <c r="P235" s="89"/>
      <c r="Q235" s="89"/>
      <c r="R235" s="89"/>
      <c r="S235" s="89"/>
      <c r="T235" s="89"/>
      <c r="U235" s="89"/>
      <c r="V235" s="89"/>
      <c r="W235" s="89"/>
      <c r="X235" s="89"/>
      <c r="Y235" s="89"/>
      <c r="Z235" s="89"/>
      <c r="AA235" s="89"/>
      <c r="AB235" s="89"/>
    </row>
    <row r="236" spans="3:28" x14ac:dyDescent="0.25">
      <c r="C236" s="88"/>
      <c r="D236"/>
      <c r="F236" s="23" t="s">
        <v>188</v>
      </c>
      <c r="G236" s="23" t="s">
        <v>270</v>
      </c>
      <c r="H236" s="23"/>
      <c r="I236" s="23"/>
      <c r="J236" s="126">
        <f t="shared" ref="J236:K236" si="310">J$122 * J176</f>
        <v>0</v>
      </c>
      <c r="K236" s="126">
        <f t="shared" si="310"/>
        <v>0</v>
      </c>
      <c r="L236" s="126">
        <f t="shared" ref="L236:M236" si="311">L$122 * L176</f>
        <v>0</v>
      </c>
      <c r="M236" s="126">
        <f t="shared" si="311"/>
        <v>0</v>
      </c>
      <c r="N236" s="126">
        <f t="shared" ref="N236:P236" si="312">N$122 * N176</f>
        <v>0</v>
      </c>
      <c r="O236" s="126">
        <f t="shared" si="312"/>
        <v>0</v>
      </c>
      <c r="P236" s="126">
        <f t="shared" si="312"/>
        <v>0</v>
      </c>
      <c r="Q236" s="126">
        <f t="shared" ref="Q236:S236" si="313">Q$122 * Q176</f>
        <v>0</v>
      </c>
      <c r="R236" s="126">
        <f t="shared" si="313"/>
        <v>0</v>
      </c>
      <c r="S236" s="126">
        <f t="shared" si="313"/>
        <v>0</v>
      </c>
      <c r="T236" s="126">
        <f t="shared" ref="T236" si="314">T$122 * T176</f>
        <v>0</v>
      </c>
      <c r="U236" s="83"/>
      <c r="V236" s="83"/>
      <c r="W236" s="83"/>
      <c r="X236" s="83"/>
      <c r="Y236" s="83"/>
      <c r="Z236" s="83"/>
      <c r="AA236" s="83"/>
      <c r="AB236" s="83"/>
    </row>
    <row r="237" spans="3:28" x14ac:dyDescent="0.25">
      <c r="C237" s="88"/>
      <c r="D237"/>
      <c r="F237" t="s">
        <v>190</v>
      </c>
      <c r="G237" t="s">
        <v>270</v>
      </c>
      <c r="J237" s="98">
        <f t="shared" ref="J237:K237" si="315">J$122 * J177</f>
        <v>0</v>
      </c>
      <c r="K237" s="98">
        <f t="shared" si="315"/>
        <v>0</v>
      </c>
      <c r="L237" s="98">
        <f t="shared" ref="L237:M237" si="316">L$122 * L177</f>
        <v>0</v>
      </c>
      <c r="M237" s="98">
        <f t="shared" si="316"/>
        <v>0</v>
      </c>
      <c r="N237" s="98">
        <f t="shared" ref="N237:P237" si="317">N$122 * N177</f>
        <v>0</v>
      </c>
      <c r="O237" s="98">
        <f t="shared" si="317"/>
        <v>0</v>
      </c>
      <c r="P237" s="98">
        <f t="shared" si="317"/>
        <v>0</v>
      </c>
      <c r="Q237" s="98">
        <f t="shared" ref="Q237:S237" si="318">Q$122 * Q177</f>
        <v>0</v>
      </c>
      <c r="R237" s="98">
        <f t="shared" si="318"/>
        <v>0</v>
      </c>
      <c r="S237" s="98">
        <f t="shared" si="318"/>
        <v>0</v>
      </c>
      <c r="T237" s="98">
        <f t="shared" ref="T237" si="319">T$122 * T177</f>
        <v>0</v>
      </c>
      <c r="U237" s="79"/>
      <c r="V237" s="79"/>
      <c r="W237" s="79"/>
      <c r="X237" s="79"/>
      <c r="Y237" s="79"/>
      <c r="Z237" s="79"/>
      <c r="AA237" s="79"/>
      <c r="AB237" s="79"/>
    </row>
    <row r="238" spans="3:28" x14ac:dyDescent="0.25">
      <c r="C238" s="88"/>
      <c r="D238"/>
      <c r="F238" t="s">
        <v>191</v>
      </c>
      <c r="G238" t="s">
        <v>270</v>
      </c>
      <c r="J238" s="98">
        <f t="shared" ref="J238:K238" si="320">J$122 * J178</f>
        <v>0</v>
      </c>
      <c r="K238" s="98">
        <f t="shared" si="320"/>
        <v>0</v>
      </c>
      <c r="L238" s="98">
        <f t="shared" ref="L238:M238" si="321">L$122 * L178</f>
        <v>0</v>
      </c>
      <c r="M238" s="98">
        <f t="shared" si="321"/>
        <v>0</v>
      </c>
      <c r="N238" s="98">
        <f t="shared" ref="N238:P238" si="322">N$122 * N178</f>
        <v>0</v>
      </c>
      <c r="O238" s="98">
        <f t="shared" si="322"/>
        <v>0</v>
      </c>
      <c r="P238" s="98">
        <f t="shared" si="322"/>
        <v>0</v>
      </c>
      <c r="Q238" s="98">
        <f t="shared" ref="Q238:S238" si="323">Q$122 * Q178</f>
        <v>0</v>
      </c>
      <c r="R238" s="98">
        <f t="shared" si="323"/>
        <v>0</v>
      </c>
      <c r="S238" s="98">
        <f t="shared" si="323"/>
        <v>0</v>
      </c>
      <c r="T238" s="98">
        <f t="shared" ref="T238" si="324">T$122 * T178</f>
        <v>0</v>
      </c>
      <c r="U238" s="79"/>
      <c r="V238" s="79"/>
      <c r="W238" s="79"/>
      <c r="X238" s="79"/>
      <c r="Y238" s="79"/>
      <c r="Z238" s="79"/>
      <c r="AA238" s="79"/>
      <c r="AB238" s="79"/>
    </row>
    <row r="239" spans="3:28" x14ac:dyDescent="0.25">
      <c r="C239" s="88"/>
      <c r="D239"/>
      <c r="F239" t="s">
        <v>192</v>
      </c>
      <c r="G239" t="s">
        <v>270</v>
      </c>
      <c r="J239" s="98">
        <f t="shared" ref="J239:K239" si="325">J$122 * J179</f>
        <v>0</v>
      </c>
      <c r="K239" s="98">
        <f t="shared" si="325"/>
        <v>0</v>
      </c>
      <c r="L239" s="98">
        <f t="shared" ref="L239:M239" si="326">L$122 * L179</f>
        <v>0</v>
      </c>
      <c r="M239" s="98">
        <f t="shared" si="326"/>
        <v>0</v>
      </c>
      <c r="N239" s="98">
        <f t="shared" ref="N239:P239" si="327">N$122 * N179</f>
        <v>0</v>
      </c>
      <c r="O239" s="98">
        <f t="shared" si="327"/>
        <v>0</v>
      </c>
      <c r="P239" s="98">
        <f t="shared" si="327"/>
        <v>0</v>
      </c>
      <c r="Q239" s="98">
        <f t="shared" ref="Q239:S239" si="328">Q$122 * Q179</f>
        <v>0</v>
      </c>
      <c r="R239" s="98">
        <f t="shared" si="328"/>
        <v>0</v>
      </c>
      <c r="S239" s="98">
        <f t="shared" si="328"/>
        <v>0</v>
      </c>
      <c r="T239" s="98">
        <f t="shared" ref="T239" si="329">T$122 * T179</f>
        <v>0</v>
      </c>
      <c r="U239" s="79"/>
      <c r="V239" s="79"/>
      <c r="W239" s="79"/>
      <c r="X239" s="79"/>
      <c r="Y239" s="79"/>
      <c r="Z239" s="79"/>
      <c r="AA239" s="79"/>
      <c r="AB239" s="79"/>
    </row>
    <row r="240" spans="3:28" x14ac:dyDescent="0.25">
      <c r="C240" s="88"/>
      <c r="D240"/>
      <c r="F240" t="s">
        <v>193</v>
      </c>
      <c r="G240" t="s">
        <v>270</v>
      </c>
      <c r="J240" s="98">
        <f t="shared" ref="J240:K240" si="330">J$122 * J180</f>
        <v>0</v>
      </c>
      <c r="K240" s="98">
        <f t="shared" si="330"/>
        <v>0</v>
      </c>
      <c r="L240" s="98">
        <f t="shared" ref="L240:M240" si="331">L$122 * L180</f>
        <v>0</v>
      </c>
      <c r="M240" s="98">
        <f t="shared" si="331"/>
        <v>0</v>
      </c>
      <c r="N240" s="98">
        <f t="shared" ref="N240:P240" si="332">N$122 * N180</f>
        <v>0</v>
      </c>
      <c r="O240" s="98">
        <f t="shared" si="332"/>
        <v>0</v>
      </c>
      <c r="P240" s="98">
        <f t="shared" si="332"/>
        <v>0.38899959063332851</v>
      </c>
      <c r="Q240" s="98">
        <f t="shared" ref="Q240:S240" si="333">Q$122 * Q180</f>
        <v>0</v>
      </c>
      <c r="R240" s="98">
        <f t="shared" si="333"/>
        <v>0</v>
      </c>
      <c r="S240" s="98">
        <f t="shared" si="333"/>
        <v>0.38899959063332851</v>
      </c>
      <c r="T240" s="98">
        <f t="shared" ref="T240" si="334">T$122 * T180</f>
        <v>0</v>
      </c>
      <c r="U240" s="79"/>
      <c r="V240" s="79"/>
      <c r="W240" s="79"/>
      <c r="X240" s="79"/>
      <c r="Y240" s="79"/>
      <c r="Z240" s="79"/>
      <c r="AA240" s="79"/>
      <c r="AB240" s="79"/>
    </row>
    <row r="241" spans="2:30" x14ac:dyDescent="0.25">
      <c r="C241" s="88"/>
      <c r="D241"/>
      <c r="F241" t="s">
        <v>194</v>
      </c>
      <c r="G241" t="s">
        <v>270</v>
      </c>
      <c r="J241" s="98">
        <f t="shared" ref="J241:K241" si="335">J$122 * J181</f>
        <v>0</v>
      </c>
      <c r="K241" s="98">
        <f t="shared" si="335"/>
        <v>0</v>
      </c>
      <c r="L241" s="98">
        <f t="shared" ref="L241:M241" si="336">L$122 * L181</f>
        <v>0</v>
      </c>
      <c r="M241" s="98">
        <f t="shared" si="336"/>
        <v>0</v>
      </c>
      <c r="N241" s="98">
        <f t="shared" ref="N241:P241" si="337">N$122 * N181</f>
        <v>0</v>
      </c>
      <c r="O241" s="98">
        <f t="shared" si="337"/>
        <v>0</v>
      </c>
      <c r="P241" s="98">
        <f t="shared" si="337"/>
        <v>0.49839583184405867</v>
      </c>
      <c r="Q241" s="98">
        <f t="shared" ref="Q241:S241" si="338">Q$122 * Q181</f>
        <v>0</v>
      </c>
      <c r="R241" s="98">
        <f t="shared" si="338"/>
        <v>0</v>
      </c>
      <c r="S241" s="98">
        <f t="shared" si="338"/>
        <v>0.49839583184405867</v>
      </c>
      <c r="T241" s="98">
        <f t="shared" ref="T241" si="339">T$122 * T181</f>
        <v>0</v>
      </c>
      <c r="U241" s="79"/>
      <c r="V241" s="79"/>
      <c r="W241" s="79"/>
      <c r="X241" s="79"/>
      <c r="Y241" s="79"/>
      <c r="Z241" s="79"/>
      <c r="AA241" s="79"/>
      <c r="AB241" s="79"/>
    </row>
    <row r="242" spans="2:30" x14ac:dyDescent="0.25">
      <c r="C242" s="88"/>
      <c r="D242"/>
      <c r="F242" t="s">
        <v>195</v>
      </c>
      <c r="G242" t="s">
        <v>270</v>
      </c>
      <c r="J242" s="98">
        <f t="shared" ref="J242:K242" si="340">J$122 * J182</f>
        <v>0</v>
      </c>
      <c r="K242" s="98">
        <f t="shared" si="340"/>
        <v>0</v>
      </c>
      <c r="L242" s="98">
        <f t="shared" ref="L242:M242" si="341">L$122 * L182</f>
        <v>0</v>
      </c>
      <c r="M242" s="98">
        <f t="shared" si="341"/>
        <v>0</v>
      </c>
      <c r="N242" s="98">
        <f t="shared" ref="N242:P242" si="342">N$122 * N182</f>
        <v>0</v>
      </c>
      <c r="O242" s="98">
        <f t="shared" si="342"/>
        <v>0</v>
      </c>
      <c r="P242" s="98">
        <f t="shared" si="342"/>
        <v>0</v>
      </c>
      <c r="Q242" s="98">
        <f t="shared" ref="Q242:S242" si="343">Q$122 * Q182</f>
        <v>0</v>
      </c>
      <c r="R242" s="98">
        <f t="shared" si="343"/>
        <v>0</v>
      </c>
      <c r="S242" s="98">
        <f t="shared" si="343"/>
        <v>0</v>
      </c>
      <c r="T242" s="98">
        <f t="shared" ref="T242" si="344">T$122 * T182</f>
        <v>0</v>
      </c>
      <c r="U242" s="79"/>
      <c r="V242" s="79"/>
      <c r="W242" s="79"/>
      <c r="X242" s="79"/>
      <c r="Y242" s="79"/>
      <c r="Z242" s="79"/>
      <c r="AA242" s="79"/>
      <c r="AB242" s="79"/>
    </row>
    <row r="243" spans="2:30" x14ac:dyDescent="0.25">
      <c r="C243" s="88"/>
      <c r="D243"/>
      <c r="F243" t="s">
        <v>196</v>
      </c>
      <c r="G243" t="s">
        <v>270</v>
      </c>
      <c r="J243" s="98">
        <f t="shared" ref="J243:K243" si="345">J$122 * J183</f>
        <v>0</v>
      </c>
      <c r="K243" s="98">
        <f t="shared" si="345"/>
        <v>0</v>
      </c>
      <c r="L243" s="98">
        <f t="shared" ref="L243:M243" si="346">L$122 * L183</f>
        <v>0</v>
      </c>
      <c r="M243" s="98">
        <f t="shared" si="346"/>
        <v>0</v>
      </c>
      <c r="N243" s="98">
        <f t="shared" ref="N243:P243" si="347">N$122 * N183</f>
        <v>0.36713230228035904</v>
      </c>
      <c r="O243" s="98">
        <f t="shared" si="347"/>
        <v>1.7453830764148219</v>
      </c>
      <c r="P243" s="98">
        <f t="shared" si="347"/>
        <v>1.7152902647524968</v>
      </c>
      <c r="Q243" s="98">
        <f t="shared" ref="Q243:S243" si="348">Q$122 * Q183</f>
        <v>0.36713230228035904</v>
      </c>
      <c r="R243" s="98">
        <f t="shared" si="348"/>
        <v>1.7453830764148219</v>
      </c>
      <c r="S243" s="98">
        <f t="shared" si="348"/>
        <v>1.7152902647524968</v>
      </c>
      <c r="T243" s="98">
        <f t="shared" ref="T243" si="349">T$122 * T183</f>
        <v>0</v>
      </c>
      <c r="U243" s="79"/>
      <c r="V243" s="79"/>
      <c r="W243" s="79"/>
      <c r="X243" s="79"/>
      <c r="Y243" s="79"/>
      <c r="Z243" s="79"/>
      <c r="AA243" s="79"/>
      <c r="AB243" s="79"/>
    </row>
    <row r="244" spans="2:30" x14ac:dyDescent="0.25">
      <c r="C244" s="88"/>
      <c r="D244"/>
      <c r="F244" t="s">
        <v>197</v>
      </c>
      <c r="G244" t="s">
        <v>270</v>
      </c>
      <c r="J244" s="98">
        <f t="shared" ref="J244:K244" si="350">J$122 * J184</f>
        <v>0</v>
      </c>
      <c r="K244" s="98">
        <f t="shared" si="350"/>
        <v>0</v>
      </c>
      <c r="L244" s="98">
        <f t="shared" ref="L244:M244" si="351">L$122 * L184</f>
        <v>0</v>
      </c>
      <c r="M244" s="98">
        <f t="shared" si="351"/>
        <v>0</v>
      </c>
      <c r="N244" s="98">
        <f t="shared" ref="N244:P244" si="352">N$122 * N184</f>
        <v>0.4613537153519332</v>
      </c>
      <c r="O244" s="98">
        <f t="shared" si="352"/>
        <v>0.438664188367412</v>
      </c>
      <c r="P244" s="98">
        <f t="shared" si="352"/>
        <v>0</v>
      </c>
      <c r="Q244" s="98">
        <f t="shared" ref="Q244:S244" si="353">Q$122 * Q184</f>
        <v>0.4613537153519332</v>
      </c>
      <c r="R244" s="98">
        <f t="shared" si="353"/>
        <v>0.438664188367412</v>
      </c>
      <c r="S244" s="98">
        <f t="shared" si="353"/>
        <v>0</v>
      </c>
      <c r="T244" s="98">
        <f t="shared" ref="T244" si="354">T$122 * T184</f>
        <v>0</v>
      </c>
      <c r="U244" s="79"/>
      <c r="V244" s="79"/>
      <c r="W244" s="79"/>
      <c r="X244" s="79"/>
      <c r="Y244" s="79"/>
      <c r="Z244" s="79"/>
      <c r="AA244" s="79"/>
      <c r="AB244" s="79"/>
    </row>
    <row r="245" spans="2:30" x14ac:dyDescent="0.25">
      <c r="C245" s="88"/>
      <c r="D245"/>
      <c r="F245" t="s">
        <v>198</v>
      </c>
      <c r="G245" t="s">
        <v>270</v>
      </c>
      <c r="J245" s="98">
        <f t="shared" ref="J245:K245" si="355">J$122 * J185</f>
        <v>0</v>
      </c>
      <c r="K245" s="98">
        <f t="shared" si="355"/>
        <v>0</v>
      </c>
      <c r="L245" s="98">
        <f t="shared" ref="L245:M245" si="356">L$122 * L185</f>
        <v>0</v>
      </c>
      <c r="M245" s="98">
        <f t="shared" si="356"/>
        <v>0</v>
      </c>
      <c r="N245" s="98">
        <f t="shared" ref="N245:P245" si="357">N$122 * N185</f>
        <v>0.74020135576371915</v>
      </c>
      <c r="O245" s="98">
        <f t="shared" si="357"/>
        <v>0</v>
      </c>
      <c r="P245" s="98">
        <f t="shared" si="357"/>
        <v>0</v>
      </c>
      <c r="Q245" s="98">
        <f t="shared" ref="Q245:S245" si="358">Q$122 * Q185</f>
        <v>0.74020135576371915</v>
      </c>
      <c r="R245" s="98">
        <f t="shared" si="358"/>
        <v>0</v>
      </c>
      <c r="S245" s="98">
        <f t="shared" si="358"/>
        <v>0</v>
      </c>
      <c r="T245" s="98">
        <f t="shared" ref="T245" si="359">T$122 * T185</f>
        <v>0</v>
      </c>
      <c r="U245" s="79"/>
      <c r="V245" s="79"/>
      <c r="W245" s="79"/>
      <c r="X245" s="79"/>
      <c r="Y245" s="79"/>
      <c r="Z245" s="79"/>
      <c r="AA245" s="79"/>
      <c r="AB245" s="79"/>
    </row>
    <row r="246" spans="2:30" x14ac:dyDescent="0.25">
      <c r="C246" s="88"/>
      <c r="D246"/>
      <c r="F246" t="s">
        <v>375</v>
      </c>
      <c r="G246" t="s">
        <v>270</v>
      </c>
      <c r="J246" s="79"/>
      <c r="K246" s="79"/>
      <c r="L246" s="79"/>
      <c r="M246" s="79"/>
      <c r="N246" s="79"/>
      <c r="O246" s="79"/>
      <c r="P246" s="79"/>
      <c r="Q246" s="79"/>
      <c r="R246" s="79"/>
      <c r="S246" s="79"/>
      <c r="T246" s="79"/>
      <c r="U246" s="79"/>
      <c r="V246" s="79"/>
      <c r="W246" s="79"/>
      <c r="X246" s="79"/>
      <c r="Y246" s="79"/>
      <c r="Z246" s="79"/>
      <c r="AA246" s="79"/>
      <c r="AB246" s="79"/>
    </row>
    <row r="247" spans="2:30" x14ac:dyDescent="0.25">
      <c r="C247" s="88"/>
      <c r="D247"/>
      <c r="F247" s="37" t="s">
        <v>376</v>
      </c>
      <c r="G247" s="37" t="s">
        <v>270</v>
      </c>
      <c r="H247" s="37"/>
      <c r="I247" s="37"/>
      <c r="J247" s="81"/>
      <c r="K247" s="81"/>
      <c r="L247" s="81"/>
      <c r="M247" s="81"/>
      <c r="N247" s="81"/>
      <c r="O247" s="81"/>
      <c r="P247" s="81"/>
      <c r="Q247" s="81"/>
      <c r="R247" s="81"/>
      <c r="S247" s="81"/>
      <c r="T247" s="81"/>
      <c r="U247" s="81"/>
      <c r="V247" s="81"/>
      <c r="W247" s="81"/>
      <c r="X247" s="81"/>
      <c r="Y247" s="81"/>
      <c r="Z247" s="81"/>
      <c r="AA247" s="81"/>
      <c r="AB247" s="81"/>
    </row>
    <row r="248" spans="2:30" x14ac:dyDescent="0.25">
      <c r="C248" s="88"/>
      <c r="J248" s="89"/>
      <c r="K248" s="89"/>
      <c r="L248" s="89"/>
      <c r="M248" s="89"/>
      <c r="N248" s="89"/>
      <c r="O248" s="89"/>
      <c r="P248" s="89"/>
      <c r="Q248" s="89"/>
      <c r="R248" s="89"/>
      <c r="S248" s="89"/>
      <c r="T248" s="89"/>
      <c r="U248" s="89"/>
      <c r="V248" s="89"/>
      <c r="W248" s="89"/>
      <c r="X248" s="89"/>
      <c r="Y248" s="89"/>
      <c r="Z248" s="89"/>
      <c r="AA248" s="89"/>
      <c r="AB248" s="89"/>
    </row>
    <row r="249" spans="2:30" x14ac:dyDescent="0.25">
      <c r="B249" s="30" t="s">
        <v>706</v>
      </c>
      <c r="C249" s="30"/>
      <c r="D249" s="30"/>
      <c r="E249" s="30"/>
      <c r="F249" s="30"/>
      <c r="G249" s="30"/>
      <c r="H249" s="30"/>
      <c r="I249" s="30"/>
      <c r="J249" s="184"/>
      <c r="K249" s="184"/>
      <c r="L249" s="184"/>
      <c r="M249" s="184"/>
      <c r="N249" s="184"/>
      <c r="O249" s="184"/>
      <c r="P249" s="184"/>
      <c r="Q249" s="184"/>
      <c r="R249" s="184"/>
      <c r="S249" s="184"/>
      <c r="T249" s="184"/>
      <c r="U249" s="184"/>
      <c r="V249" s="184"/>
      <c r="W249" s="184"/>
      <c r="X249" s="184"/>
      <c r="Y249" s="184"/>
      <c r="Z249" s="184"/>
      <c r="AA249" s="184"/>
      <c r="AB249" s="184"/>
      <c r="AC249" s="30"/>
      <c r="AD249" s="30"/>
    </row>
    <row r="250" spans="2:30" x14ac:dyDescent="0.25">
      <c r="J250" s="89"/>
      <c r="K250" s="89"/>
      <c r="L250" s="89"/>
      <c r="M250" s="89"/>
      <c r="N250" s="89"/>
      <c r="O250" s="89"/>
      <c r="P250" s="89"/>
      <c r="Q250" s="89"/>
      <c r="R250" s="89"/>
      <c r="S250" s="89"/>
      <c r="T250" s="89"/>
      <c r="U250" s="89"/>
      <c r="V250" s="89"/>
      <c r="W250" s="89"/>
      <c r="X250" s="89"/>
      <c r="Y250" s="89"/>
      <c r="Z250" s="89"/>
      <c r="AA250" s="89"/>
      <c r="AB250" s="89"/>
    </row>
    <row r="251" spans="2:30" x14ac:dyDescent="0.25">
      <c r="B251" s="203"/>
      <c r="C251" s="29" t="s">
        <v>707</v>
      </c>
      <c r="D251"/>
      <c r="E251"/>
      <c r="J251" s="89"/>
      <c r="K251" s="89"/>
      <c r="L251" s="89"/>
      <c r="M251" s="89"/>
      <c r="N251" s="89"/>
      <c r="O251" s="89"/>
      <c r="P251" s="89"/>
      <c r="Q251" s="89"/>
      <c r="R251" s="89"/>
      <c r="S251" s="89"/>
      <c r="T251" s="89"/>
      <c r="U251" s="89"/>
      <c r="V251" s="89"/>
      <c r="W251" s="89"/>
      <c r="X251" s="89"/>
      <c r="Y251" s="89"/>
      <c r="Z251" s="89"/>
      <c r="AA251" s="89"/>
      <c r="AB251" s="89"/>
    </row>
    <row r="252" spans="2:30" x14ac:dyDescent="0.25">
      <c r="B252" s="203"/>
      <c r="C252" s="29" t="s">
        <v>708</v>
      </c>
      <c r="D252"/>
      <c r="E252"/>
      <c r="J252" s="89"/>
      <c r="K252" s="89"/>
      <c r="L252" s="89"/>
      <c r="M252" s="89"/>
      <c r="N252" s="89"/>
      <c r="O252" s="89"/>
      <c r="P252" s="89"/>
      <c r="Q252" s="89"/>
      <c r="R252" s="89"/>
      <c r="S252" s="89"/>
      <c r="T252" s="89"/>
      <c r="U252" s="89"/>
      <c r="V252" s="89"/>
      <c r="W252" s="89"/>
      <c r="X252" s="89"/>
      <c r="Y252" s="89"/>
      <c r="Z252" s="89"/>
      <c r="AA252" s="89"/>
      <c r="AB252" s="89"/>
    </row>
    <row r="253" spans="2:30" x14ac:dyDescent="0.25">
      <c r="J253" s="89"/>
      <c r="K253" s="89"/>
      <c r="L253" s="89"/>
      <c r="M253" s="89"/>
      <c r="N253" s="89"/>
      <c r="O253" s="89"/>
      <c r="P253" s="89"/>
      <c r="Q253" s="89"/>
      <c r="R253" s="89"/>
      <c r="S253" s="89"/>
      <c r="T253" s="89"/>
      <c r="U253" s="89"/>
      <c r="V253" s="89"/>
      <c r="W253" s="89"/>
      <c r="X253" s="89"/>
      <c r="Y253" s="89"/>
      <c r="Z253" s="89"/>
      <c r="AA253" s="89"/>
      <c r="AB253" s="89"/>
    </row>
    <row r="254" spans="2:30" x14ac:dyDescent="0.25">
      <c r="C254" s="31" t="str">
        <f ca="1">INDEX('Version control'!$H$34:$H$57,MATCH($A$1,'Version control'!$F$34:$F$57,0),1)&amp;"-F: Capacity and exceeded capacity charges"</f>
        <v>Section 113-F: Capacity and exceeded capacity charges</v>
      </c>
      <c r="D254" s="31"/>
      <c r="E254" s="31"/>
      <c r="F254" s="31"/>
      <c r="G254" s="31"/>
      <c r="H254" s="31"/>
      <c r="I254" s="31"/>
      <c r="J254" s="90"/>
      <c r="K254" s="90"/>
      <c r="L254" s="90"/>
      <c r="M254" s="90"/>
      <c r="N254" s="90"/>
      <c r="O254" s="90"/>
      <c r="P254" s="90"/>
      <c r="Q254" s="90"/>
      <c r="R254" s="90"/>
      <c r="S254" s="90"/>
      <c r="T254" s="90"/>
      <c r="U254" s="90"/>
      <c r="V254" s="90"/>
      <c r="W254" s="90"/>
      <c r="X254" s="90"/>
      <c r="Y254" s="90"/>
      <c r="Z254" s="90"/>
      <c r="AA254" s="90"/>
      <c r="AB254" s="90"/>
      <c r="AC254" s="31"/>
      <c r="AD254" s="31"/>
    </row>
    <row r="255" spans="2:30" x14ac:dyDescent="0.25">
      <c r="J255" s="89"/>
      <c r="K255" s="89"/>
      <c r="L255" s="89"/>
      <c r="M255" s="89"/>
      <c r="N255" s="89"/>
      <c r="O255" s="89"/>
      <c r="P255" s="89"/>
      <c r="Q255" s="89"/>
      <c r="R255" s="89"/>
      <c r="S255" s="89"/>
      <c r="T255" s="89"/>
      <c r="U255" s="89"/>
      <c r="V255" s="89"/>
      <c r="W255" s="89"/>
      <c r="X255" s="89"/>
      <c r="Y255" s="89"/>
      <c r="Z255" s="89"/>
      <c r="AA255" s="89"/>
      <c r="AB255" s="89"/>
    </row>
    <row r="256" spans="2:30" x14ac:dyDescent="0.25">
      <c r="E256" t="s">
        <v>709</v>
      </c>
      <c r="G256" t="s">
        <v>270</v>
      </c>
      <c r="I256" t="s">
        <v>153</v>
      </c>
      <c r="J256" s="121">
        <f t="shared" ref="J256:K256" si="360">SUM(J192:J203,J206:J217)</f>
        <v>0</v>
      </c>
      <c r="K256" s="121">
        <f t="shared" si="360"/>
        <v>0</v>
      </c>
      <c r="L256" s="121">
        <f t="shared" ref="L256:M256" si="361">SUM(L192:L203,L206:L217)</f>
        <v>0</v>
      </c>
      <c r="M256" s="121">
        <f t="shared" si="361"/>
        <v>0</v>
      </c>
      <c r="N256" s="121">
        <f t="shared" ref="N256:P256" si="362">SUM(N192:N203,N206:N217)</f>
        <v>2.498083735110924</v>
      </c>
      <c r="O256" s="121">
        <f t="shared" si="362"/>
        <v>4.5053338960962241</v>
      </c>
      <c r="P256" s="121">
        <f t="shared" si="362"/>
        <v>4.9643297738527297</v>
      </c>
      <c r="Q256" s="121">
        <f t="shared" ref="Q256:S256" si="363">SUM(Q192:Q203,Q206:Q217)</f>
        <v>2.498083735110924</v>
      </c>
      <c r="R256" s="121">
        <f t="shared" si="363"/>
        <v>4.5053338960962241</v>
      </c>
      <c r="S256" s="121">
        <f t="shared" si="363"/>
        <v>4.9643297738527297</v>
      </c>
      <c r="T256" s="121">
        <f t="shared" ref="T256" si="364">SUM(T192:T203,T206:T217)</f>
        <v>0</v>
      </c>
      <c r="U256" s="79"/>
      <c r="V256" s="79"/>
      <c r="W256" s="79"/>
      <c r="X256" s="79"/>
      <c r="Y256" s="79"/>
      <c r="Z256" s="79"/>
      <c r="AA256" s="79"/>
      <c r="AB256" s="79"/>
      <c r="AD256" t="s">
        <v>710</v>
      </c>
    </row>
    <row r="257" spans="3:30" x14ac:dyDescent="0.25">
      <c r="E257" t="s">
        <v>711</v>
      </c>
      <c r="G257" t="s">
        <v>270</v>
      </c>
      <c r="I257" t="s">
        <v>153</v>
      </c>
      <c r="J257" s="121">
        <f t="shared" ref="J257:K257" si="365">SUM(J222:J233,J236:J247)</f>
        <v>0</v>
      </c>
      <c r="K257" s="121">
        <f t="shared" si="365"/>
        <v>0</v>
      </c>
      <c r="L257" s="121">
        <f t="shared" ref="L257:M257" si="366">SUM(L222:L233,L236:L247)</f>
        <v>0</v>
      </c>
      <c r="M257" s="121">
        <f t="shared" si="366"/>
        <v>0</v>
      </c>
      <c r="N257" s="121">
        <f t="shared" ref="N257:P257" si="367">SUM(N222:N233,N236:N247)</f>
        <v>3.691279099689118</v>
      </c>
      <c r="O257" s="121">
        <f t="shared" si="367"/>
        <v>5.1392827901526239</v>
      </c>
      <c r="P257" s="121">
        <f t="shared" si="367"/>
        <v>6.1243810865470367</v>
      </c>
      <c r="Q257" s="121">
        <f t="shared" ref="Q257:S257" si="368">SUM(Q222:Q233,Q236:Q247)</f>
        <v>3.691279099689118</v>
      </c>
      <c r="R257" s="121">
        <f t="shared" si="368"/>
        <v>5.1392827901526239</v>
      </c>
      <c r="S257" s="121">
        <f t="shared" si="368"/>
        <v>6.1243810865470367</v>
      </c>
      <c r="T257" s="121">
        <f t="shared" ref="T257" si="369">SUM(T222:T233,T236:T247)</f>
        <v>0</v>
      </c>
      <c r="U257" s="79"/>
      <c r="V257" s="79"/>
      <c r="W257" s="79"/>
      <c r="X257" s="79"/>
      <c r="Y257" s="79"/>
      <c r="Z257" s="79"/>
      <c r="AA257" s="79"/>
      <c r="AB257" s="79"/>
      <c r="AD257" t="s">
        <v>710</v>
      </c>
    </row>
    <row r="258" spans="3:30" x14ac:dyDescent="0.25">
      <c r="C258" s="88"/>
      <c r="J258" s="89"/>
      <c r="K258" s="89"/>
      <c r="L258" s="89"/>
      <c r="M258" s="89"/>
      <c r="N258" s="89"/>
      <c r="O258" s="89"/>
      <c r="P258" s="89"/>
      <c r="Q258" s="89"/>
      <c r="R258" s="89"/>
      <c r="S258" s="89"/>
      <c r="T258" s="89"/>
      <c r="U258" s="89"/>
      <c r="V258" s="89"/>
      <c r="W258" s="89"/>
      <c r="X258" s="89"/>
      <c r="Y258" s="89"/>
      <c r="Z258" s="89"/>
      <c r="AA258" s="89"/>
      <c r="AB258" s="89"/>
    </row>
    <row r="259" spans="3:30" x14ac:dyDescent="0.25">
      <c r="C259" s="31" t="str">
        <f ca="1">INDEX('Version control'!$H$34:$H$57,MATCH($A$1,'Version control'!$F$34:$F$57,0),1)&amp;"-G: Capacity elements allocated to fixed charges"</f>
        <v>Section 113-G: Capacity elements allocated to fixed charges</v>
      </c>
      <c r="D259" s="31"/>
      <c r="E259" s="31"/>
      <c r="F259" s="31"/>
      <c r="G259" s="31"/>
      <c r="H259" s="31"/>
      <c r="I259" s="31"/>
      <c r="J259" s="90"/>
      <c r="K259" s="90"/>
      <c r="L259" s="90"/>
      <c r="M259" s="90"/>
      <c r="N259" s="90"/>
      <c r="O259" s="90"/>
      <c r="P259" s="90"/>
      <c r="Q259" s="90"/>
      <c r="R259" s="90"/>
      <c r="S259" s="90"/>
      <c r="T259" s="90"/>
      <c r="U259" s="90"/>
      <c r="V259" s="90"/>
      <c r="W259" s="90"/>
      <c r="X259" s="90"/>
      <c r="Y259" s="90"/>
      <c r="Z259" s="90"/>
      <c r="AA259" s="90"/>
      <c r="AB259" s="90"/>
      <c r="AC259" s="31"/>
      <c r="AD259" s="31"/>
    </row>
    <row r="260" spans="3:30" x14ac:dyDescent="0.25">
      <c r="D260" s="32"/>
      <c r="E260" s="32"/>
      <c r="I260" t="s">
        <v>153</v>
      </c>
      <c r="J260" s="89"/>
      <c r="K260" s="89"/>
      <c r="L260" s="89"/>
      <c r="M260" s="89"/>
      <c r="N260" s="89"/>
      <c r="O260" s="89"/>
      <c r="P260" s="89"/>
      <c r="Q260" s="89"/>
      <c r="R260" s="89"/>
      <c r="S260" s="89"/>
      <c r="T260" s="89"/>
      <c r="U260" s="89"/>
      <c r="V260" s="89"/>
      <c r="W260" s="89"/>
      <c r="X260" s="89"/>
      <c r="Y260" s="89"/>
      <c r="Z260" s="89"/>
      <c r="AA260" s="89"/>
      <c r="AB260" s="89"/>
      <c r="AD260" t="s">
        <v>712</v>
      </c>
    </row>
    <row r="261" spans="3:30" x14ac:dyDescent="0.25">
      <c r="C261" s="88"/>
      <c r="D261"/>
      <c r="E261" s="32" t="s">
        <v>620</v>
      </c>
      <c r="J261" s="89"/>
      <c r="K261" s="89"/>
      <c r="L261" s="89"/>
      <c r="M261" s="89"/>
      <c r="N261" s="89"/>
      <c r="O261" s="89"/>
      <c r="P261" s="89"/>
      <c r="Q261" s="89"/>
      <c r="R261" s="89"/>
      <c r="S261" s="89"/>
      <c r="T261" s="89"/>
      <c r="U261" s="89"/>
      <c r="V261" s="89"/>
      <c r="W261" s="89"/>
      <c r="X261" s="89"/>
      <c r="Y261" s="89"/>
      <c r="Z261" s="89"/>
      <c r="AA261" s="89"/>
      <c r="AB261" s="89"/>
    </row>
    <row r="262" spans="3:30" x14ac:dyDescent="0.25">
      <c r="C262" s="88"/>
      <c r="D262"/>
      <c r="F262" s="23" t="s">
        <v>188</v>
      </c>
      <c r="G262" s="23" t="s">
        <v>270</v>
      </c>
      <c r="H262" s="23"/>
      <c r="I262" s="23"/>
      <c r="J262" s="83"/>
      <c r="K262" s="83"/>
      <c r="L262" s="83"/>
      <c r="M262" s="83"/>
      <c r="N262" s="83"/>
      <c r="O262" s="83"/>
      <c r="P262" s="83"/>
      <c r="Q262" s="83"/>
      <c r="R262" s="83"/>
      <c r="S262" s="83"/>
      <c r="T262" s="83"/>
      <c r="U262" s="83"/>
      <c r="V262" s="83"/>
      <c r="W262" s="83"/>
      <c r="X262" s="83"/>
      <c r="Y262" s="83"/>
      <c r="Z262" s="83"/>
      <c r="AA262" s="83"/>
      <c r="AB262" s="83"/>
    </row>
    <row r="263" spans="3:30" x14ac:dyDescent="0.25">
      <c r="C263" s="88"/>
      <c r="D263"/>
      <c r="F263" t="s">
        <v>190</v>
      </c>
      <c r="G263" t="s">
        <v>270</v>
      </c>
      <c r="J263" s="79"/>
      <c r="K263" s="79"/>
      <c r="L263" s="79"/>
      <c r="M263" s="79"/>
      <c r="N263" s="79"/>
      <c r="O263" s="79"/>
      <c r="P263" s="79"/>
      <c r="Q263" s="79"/>
      <c r="R263" s="79"/>
      <c r="S263" s="79"/>
      <c r="T263" s="79"/>
      <c r="U263" s="79"/>
      <c r="V263" s="79"/>
      <c r="W263" s="79"/>
      <c r="X263" s="79"/>
      <c r="Y263" s="79"/>
      <c r="Z263" s="79"/>
      <c r="AA263" s="79"/>
      <c r="AB263" s="79"/>
    </row>
    <row r="264" spans="3:30" x14ac:dyDescent="0.25">
      <c r="C264" s="88"/>
      <c r="D264"/>
      <c r="F264" t="s">
        <v>191</v>
      </c>
      <c r="G264" t="s">
        <v>270</v>
      </c>
      <c r="J264" s="121">
        <f t="shared" ref="J264:K264" si="370">J$123 * J134</f>
        <v>0</v>
      </c>
      <c r="K264" s="121">
        <f t="shared" si="370"/>
        <v>0</v>
      </c>
      <c r="L264" s="121">
        <f t="shared" ref="L264:M264" si="371">L$123 * L134</f>
        <v>0</v>
      </c>
      <c r="M264" s="121">
        <f t="shared" si="371"/>
        <v>0</v>
      </c>
      <c r="N264" s="121">
        <f t="shared" ref="N264:P264" si="372">N$123 * N134</f>
        <v>0</v>
      </c>
      <c r="O264" s="121">
        <f t="shared" si="372"/>
        <v>0</v>
      </c>
      <c r="P264" s="121">
        <f t="shared" si="372"/>
        <v>0</v>
      </c>
      <c r="Q264" s="121">
        <f t="shared" ref="Q264:S264" si="373">Q$123 * Q134</f>
        <v>0</v>
      </c>
      <c r="R264" s="121">
        <f t="shared" si="373"/>
        <v>0</v>
      </c>
      <c r="S264" s="121">
        <f t="shared" si="373"/>
        <v>0</v>
      </c>
      <c r="T264" s="121">
        <f t="shared" ref="T264" si="374">T$123 * T134</f>
        <v>0</v>
      </c>
      <c r="U264" s="79"/>
      <c r="V264" s="79"/>
      <c r="W264" s="79"/>
      <c r="X264" s="79"/>
      <c r="Y264" s="79"/>
      <c r="Z264" s="79"/>
      <c r="AA264" s="79"/>
      <c r="AB264" s="79"/>
    </row>
    <row r="265" spans="3:30" x14ac:dyDescent="0.25">
      <c r="C265" s="88"/>
      <c r="D265"/>
      <c r="F265" t="s">
        <v>192</v>
      </c>
      <c r="G265" t="s">
        <v>270</v>
      </c>
      <c r="J265" s="121">
        <f t="shared" ref="J265:K265" si="375">J$123 * J135</f>
        <v>0</v>
      </c>
      <c r="K265" s="121">
        <f t="shared" si="375"/>
        <v>0</v>
      </c>
      <c r="L265" s="121">
        <f t="shared" ref="L265:M265" si="376">L$123 * L135</f>
        <v>0</v>
      </c>
      <c r="M265" s="121">
        <f t="shared" si="376"/>
        <v>0</v>
      </c>
      <c r="N265" s="121">
        <f t="shared" ref="N265:P265" si="377">N$123 * N135</f>
        <v>0</v>
      </c>
      <c r="O265" s="121">
        <f t="shared" si="377"/>
        <v>0</v>
      </c>
      <c r="P265" s="121">
        <f t="shared" si="377"/>
        <v>0</v>
      </c>
      <c r="Q265" s="121">
        <f t="shared" ref="Q265:S265" si="378">Q$123 * Q135</f>
        <v>0</v>
      </c>
      <c r="R265" s="121">
        <f t="shared" si="378"/>
        <v>0</v>
      </c>
      <c r="S265" s="121">
        <f t="shared" si="378"/>
        <v>0</v>
      </c>
      <c r="T265" s="121">
        <f t="shared" ref="T265" si="379">T$123 * T135</f>
        <v>0</v>
      </c>
      <c r="U265" s="79"/>
      <c r="V265" s="79"/>
      <c r="W265" s="79"/>
      <c r="X265" s="79"/>
      <c r="Y265" s="79"/>
      <c r="Z265" s="79"/>
      <c r="AA265" s="79"/>
      <c r="AB265" s="79"/>
    </row>
    <row r="266" spans="3:30" x14ac:dyDescent="0.25">
      <c r="C266" s="88"/>
      <c r="D266"/>
      <c r="F266" t="s">
        <v>193</v>
      </c>
      <c r="G266" t="s">
        <v>270</v>
      </c>
      <c r="J266" s="121">
        <f t="shared" ref="J266:K266" si="380">J$123 * J136</f>
        <v>0</v>
      </c>
      <c r="K266" s="121">
        <f t="shared" si="380"/>
        <v>0</v>
      </c>
      <c r="L266" s="121">
        <f t="shared" ref="L266:M266" si="381">L$123 * L136</f>
        <v>0</v>
      </c>
      <c r="M266" s="121">
        <f t="shared" si="381"/>
        <v>0</v>
      </c>
      <c r="N266" s="121">
        <f t="shared" ref="N266:P266" si="382">N$123 * N136</f>
        <v>0</v>
      </c>
      <c r="O266" s="121">
        <f t="shared" si="382"/>
        <v>0</v>
      </c>
      <c r="P266" s="121">
        <f t="shared" si="382"/>
        <v>0</v>
      </c>
      <c r="Q266" s="121">
        <f t="shared" ref="Q266:S266" si="383">Q$123 * Q136</f>
        <v>0</v>
      </c>
      <c r="R266" s="121">
        <f t="shared" si="383"/>
        <v>0</v>
      </c>
      <c r="S266" s="121">
        <f t="shared" si="383"/>
        <v>0</v>
      </c>
      <c r="T266" s="121">
        <f t="shared" ref="T266" si="384">T$123 * T136</f>
        <v>0</v>
      </c>
      <c r="U266" s="79"/>
      <c r="V266" s="79"/>
      <c r="W266" s="79"/>
      <c r="X266" s="79"/>
      <c r="Y266" s="79"/>
      <c r="Z266" s="79"/>
      <c r="AA266" s="79"/>
      <c r="AB266" s="79"/>
    </row>
    <row r="267" spans="3:30" x14ac:dyDescent="0.25">
      <c r="C267" s="88"/>
      <c r="D267"/>
      <c r="F267" t="s">
        <v>194</v>
      </c>
      <c r="G267" t="s">
        <v>270</v>
      </c>
      <c r="J267" s="121">
        <f t="shared" ref="J267:K267" si="385">J$123 * J137</f>
        <v>0</v>
      </c>
      <c r="K267" s="121">
        <f t="shared" si="385"/>
        <v>0</v>
      </c>
      <c r="L267" s="121">
        <f t="shared" ref="L267:M267" si="386">L$123 * L137</f>
        <v>0</v>
      </c>
      <c r="M267" s="121">
        <f t="shared" si="386"/>
        <v>0</v>
      </c>
      <c r="N267" s="121">
        <f t="shared" ref="N267:P267" si="387">N$123 * N137</f>
        <v>0</v>
      </c>
      <c r="O267" s="121">
        <f t="shared" si="387"/>
        <v>0</v>
      </c>
      <c r="P267" s="121">
        <f t="shared" si="387"/>
        <v>0</v>
      </c>
      <c r="Q267" s="121">
        <f t="shared" ref="Q267:S267" si="388">Q$123 * Q137</f>
        <v>0</v>
      </c>
      <c r="R267" s="121">
        <f t="shared" si="388"/>
        <v>0</v>
      </c>
      <c r="S267" s="121">
        <f t="shared" si="388"/>
        <v>0</v>
      </c>
      <c r="T267" s="121">
        <f t="shared" ref="T267" si="389">T$123 * T137</f>
        <v>0</v>
      </c>
      <c r="U267" s="79"/>
      <c r="V267" s="79"/>
      <c r="W267" s="79"/>
      <c r="X267" s="79"/>
      <c r="Y267" s="79"/>
      <c r="Z267" s="79"/>
      <c r="AA267" s="79"/>
      <c r="AB267" s="79"/>
    </row>
    <row r="268" spans="3:30" x14ac:dyDescent="0.25">
      <c r="C268" s="88"/>
      <c r="D268"/>
      <c r="F268" t="s">
        <v>195</v>
      </c>
      <c r="G268" t="s">
        <v>270</v>
      </c>
      <c r="J268" s="121">
        <f t="shared" ref="J268:K268" si="390">J$123 * J138</f>
        <v>0</v>
      </c>
      <c r="K268" s="121">
        <f t="shared" si="390"/>
        <v>0</v>
      </c>
      <c r="L268" s="121">
        <f t="shared" ref="L268:M268" si="391">L$123 * L138</f>
        <v>0</v>
      </c>
      <c r="M268" s="121">
        <f t="shared" si="391"/>
        <v>0</v>
      </c>
      <c r="N268" s="121">
        <f t="shared" ref="N268:P268" si="392">N$123 * N138</f>
        <v>0</v>
      </c>
      <c r="O268" s="121">
        <f t="shared" si="392"/>
        <v>0</v>
      </c>
      <c r="P268" s="121">
        <f t="shared" si="392"/>
        <v>0</v>
      </c>
      <c r="Q268" s="121">
        <f t="shared" ref="Q268:S268" si="393">Q$123 * Q138</f>
        <v>0</v>
      </c>
      <c r="R268" s="121">
        <f t="shared" si="393"/>
        <v>0</v>
      </c>
      <c r="S268" s="121">
        <f t="shared" si="393"/>
        <v>0</v>
      </c>
      <c r="T268" s="121">
        <f t="shared" ref="T268" si="394">T$123 * T138</f>
        <v>0</v>
      </c>
      <c r="U268" s="79"/>
      <c r="V268" s="79"/>
      <c r="W268" s="79"/>
      <c r="X268" s="79"/>
      <c r="Y268" s="79"/>
      <c r="Z268" s="79"/>
      <c r="AA268" s="79"/>
      <c r="AB268" s="79"/>
    </row>
    <row r="269" spans="3:30" x14ac:dyDescent="0.25">
      <c r="C269" s="88"/>
      <c r="D269"/>
      <c r="F269" t="s">
        <v>196</v>
      </c>
      <c r="G269" t="s">
        <v>270</v>
      </c>
      <c r="J269" s="121">
        <f t="shared" ref="J269:K269" si="395">J$123 * J139</f>
        <v>0</v>
      </c>
      <c r="K269" s="121">
        <f t="shared" si="395"/>
        <v>0</v>
      </c>
      <c r="L269" s="121">
        <f t="shared" ref="L269:M269" si="396">L$123 * L139</f>
        <v>0</v>
      </c>
      <c r="M269" s="121">
        <f t="shared" si="396"/>
        <v>0</v>
      </c>
      <c r="N269" s="121">
        <f t="shared" ref="N269:P269" si="397">N$123 * N139</f>
        <v>0</v>
      </c>
      <c r="O269" s="121">
        <f t="shared" si="397"/>
        <v>0</v>
      </c>
      <c r="P269" s="121">
        <f t="shared" si="397"/>
        <v>0</v>
      </c>
      <c r="Q269" s="121">
        <f t="shared" ref="Q269:S269" si="398">Q$123 * Q139</f>
        <v>0</v>
      </c>
      <c r="R269" s="121">
        <f t="shared" si="398"/>
        <v>0</v>
      </c>
      <c r="S269" s="121">
        <f t="shared" si="398"/>
        <v>0</v>
      </c>
      <c r="T269" s="121">
        <f t="shared" ref="T269" si="399">T$123 * T139</f>
        <v>0</v>
      </c>
      <c r="U269" s="79"/>
      <c r="V269" s="79"/>
      <c r="W269" s="79"/>
      <c r="X269" s="79"/>
      <c r="Y269" s="79"/>
      <c r="Z269" s="79"/>
      <c r="AA269" s="79"/>
      <c r="AB269" s="79"/>
    </row>
    <row r="270" spans="3:30" x14ac:dyDescent="0.25">
      <c r="C270" s="88"/>
      <c r="D270"/>
      <c r="F270" t="s">
        <v>197</v>
      </c>
      <c r="G270" t="s">
        <v>270</v>
      </c>
      <c r="J270" s="121">
        <f t="shared" ref="J270:K270" si="400">J$123 * J140</f>
        <v>0</v>
      </c>
      <c r="K270" s="121">
        <f t="shared" si="400"/>
        <v>0</v>
      </c>
      <c r="L270" s="121">
        <f t="shared" ref="L270:M270" si="401">L$123 * L140</f>
        <v>0</v>
      </c>
      <c r="M270" s="121">
        <f t="shared" si="401"/>
        <v>0</v>
      </c>
      <c r="N270" s="121">
        <f t="shared" ref="N270:P270" si="402">N$123 * N140</f>
        <v>0</v>
      </c>
      <c r="O270" s="121">
        <f t="shared" si="402"/>
        <v>0</v>
      </c>
      <c r="P270" s="121">
        <f t="shared" si="402"/>
        <v>0</v>
      </c>
      <c r="Q270" s="121">
        <f t="shared" ref="Q270:S270" si="403">Q$123 * Q140</f>
        <v>0</v>
      </c>
      <c r="R270" s="121">
        <f t="shared" si="403"/>
        <v>0</v>
      </c>
      <c r="S270" s="121">
        <f t="shared" si="403"/>
        <v>0</v>
      </c>
      <c r="T270" s="121">
        <f t="shared" ref="T270" si="404">T$123 * T140</f>
        <v>0</v>
      </c>
      <c r="U270" s="79"/>
      <c r="V270" s="79"/>
      <c r="W270" s="79"/>
      <c r="X270" s="79"/>
      <c r="Y270" s="79"/>
      <c r="Z270" s="79"/>
      <c r="AA270" s="79"/>
      <c r="AB270" s="79"/>
    </row>
    <row r="271" spans="3:30" x14ac:dyDescent="0.25">
      <c r="C271" s="88"/>
      <c r="D271"/>
      <c r="F271" t="s">
        <v>198</v>
      </c>
      <c r="G271" t="s">
        <v>270</v>
      </c>
      <c r="J271" s="121">
        <f t="shared" ref="J271:K271" si="405">J$123 * J141</f>
        <v>7.640178367250032E-2</v>
      </c>
      <c r="K271" s="121">
        <f t="shared" si="405"/>
        <v>0</v>
      </c>
      <c r="L271" s="121">
        <f t="shared" ref="L271:M271" si="406">L$123 * L141</f>
        <v>7.640178367250032E-2</v>
      </c>
      <c r="M271" s="121">
        <f t="shared" si="406"/>
        <v>0</v>
      </c>
      <c r="N271" s="121">
        <f t="shared" ref="N271:P271" si="407">N$123 * N141</f>
        <v>0</v>
      </c>
      <c r="O271" s="121">
        <f t="shared" si="407"/>
        <v>0</v>
      </c>
      <c r="P271" s="121">
        <f t="shared" si="407"/>
        <v>0</v>
      </c>
      <c r="Q271" s="121">
        <f t="shared" ref="Q271:S271" si="408">Q$123 * Q141</f>
        <v>0</v>
      </c>
      <c r="R271" s="121">
        <f t="shared" si="408"/>
        <v>0</v>
      </c>
      <c r="S271" s="121">
        <f t="shared" si="408"/>
        <v>0</v>
      </c>
      <c r="T271" s="121">
        <f t="shared" ref="T271" si="409">T$123 * T141</f>
        <v>0</v>
      </c>
      <c r="U271" s="79"/>
      <c r="V271" s="79"/>
      <c r="W271" s="79"/>
      <c r="X271" s="79"/>
      <c r="Y271" s="79"/>
      <c r="Z271" s="79"/>
      <c r="AA271" s="79"/>
      <c r="AB271" s="79"/>
    </row>
    <row r="272" spans="3:30" x14ac:dyDescent="0.25">
      <c r="C272" s="88"/>
      <c r="D272"/>
      <c r="F272" t="s">
        <v>375</v>
      </c>
      <c r="G272" t="s">
        <v>270</v>
      </c>
      <c r="J272" s="79"/>
      <c r="K272" s="79"/>
      <c r="L272" s="79"/>
      <c r="M272" s="79"/>
      <c r="N272" s="79"/>
      <c r="O272" s="79"/>
      <c r="P272" s="79"/>
      <c r="Q272" s="79"/>
      <c r="R272" s="79"/>
      <c r="S272" s="79"/>
      <c r="T272" s="79"/>
      <c r="U272" s="79"/>
      <c r="V272" s="79"/>
      <c r="W272" s="79"/>
      <c r="X272" s="79"/>
      <c r="Y272" s="79"/>
      <c r="Z272" s="79"/>
      <c r="AA272" s="79"/>
      <c r="AB272" s="79"/>
    </row>
    <row r="273" spans="3:28" x14ac:dyDescent="0.25">
      <c r="C273" s="88"/>
      <c r="D273"/>
      <c r="F273" s="37" t="s">
        <v>376</v>
      </c>
      <c r="G273" s="37" t="s">
        <v>270</v>
      </c>
      <c r="H273" s="37"/>
      <c r="I273" s="37"/>
      <c r="J273" s="81"/>
      <c r="K273" s="81"/>
      <c r="L273" s="81"/>
      <c r="M273" s="81"/>
      <c r="N273" s="81"/>
      <c r="O273" s="81"/>
      <c r="P273" s="81"/>
      <c r="Q273" s="81"/>
      <c r="R273" s="81"/>
      <c r="S273" s="81"/>
      <c r="T273" s="81"/>
      <c r="U273" s="81"/>
      <c r="V273" s="81"/>
      <c r="W273" s="81"/>
      <c r="X273" s="81"/>
      <c r="Y273" s="81"/>
      <c r="Z273" s="81"/>
      <c r="AA273" s="81"/>
      <c r="AB273" s="81"/>
    </row>
    <row r="274" spans="3:28" x14ac:dyDescent="0.25">
      <c r="C274" s="88"/>
      <c r="D274"/>
      <c r="J274" s="89"/>
      <c r="K274" s="89"/>
      <c r="L274" s="89"/>
      <c r="M274" s="89"/>
      <c r="N274" s="89"/>
      <c r="O274" s="89"/>
      <c r="P274" s="89"/>
      <c r="Q274" s="89"/>
      <c r="R274" s="89"/>
      <c r="S274" s="89"/>
      <c r="T274" s="89"/>
      <c r="U274" s="89"/>
      <c r="V274" s="89"/>
      <c r="W274" s="89"/>
      <c r="X274" s="89"/>
      <c r="Y274" s="89"/>
      <c r="Z274" s="89"/>
      <c r="AA274" s="89"/>
      <c r="AB274" s="89"/>
    </row>
    <row r="275" spans="3:28" x14ac:dyDescent="0.25">
      <c r="C275" s="88"/>
      <c r="D275"/>
      <c r="E275" s="32" t="s">
        <v>713</v>
      </c>
      <c r="J275" s="89"/>
      <c r="K275" s="89"/>
      <c r="L275" s="89"/>
      <c r="M275" s="89"/>
      <c r="N275" s="89"/>
      <c r="O275" s="89"/>
      <c r="P275" s="89"/>
      <c r="Q275" s="89"/>
      <c r="R275" s="89"/>
      <c r="S275" s="89"/>
      <c r="T275" s="89"/>
      <c r="U275" s="89"/>
      <c r="V275" s="89"/>
      <c r="W275" s="89"/>
      <c r="X275" s="89"/>
      <c r="Y275" s="89"/>
      <c r="Z275" s="89"/>
      <c r="AA275" s="89"/>
      <c r="AB275" s="89"/>
    </row>
    <row r="276" spans="3:28" x14ac:dyDescent="0.25">
      <c r="C276" s="88"/>
      <c r="D276"/>
      <c r="F276" s="23" t="s">
        <v>188</v>
      </c>
      <c r="G276" s="23" t="s">
        <v>270</v>
      </c>
      <c r="H276" s="23"/>
      <c r="I276" s="23"/>
      <c r="J276" s="101">
        <f t="shared" ref="J276:K276" si="410">J$123 * J146</f>
        <v>0</v>
      </c>
      <c r="K276" s="101">
        <f t="shared" si="410"/>
        <v>0</v>
      </c>
      <c r="L276" s="101">
        <f t="shared" ref="L276:M276" si="411">L$123 * L146</f>
        <v>0</v>
      </c>
      <c r="M276" s="101">
        <f t="shared" si="411"/>
        <v>0</v>
      </c>
      <c r="N276" s="101">
        <f t="shared" ref="N276:P276" si="412">N$123 * N146</f>
        <v>0</v>
      </c>
      <c r="O276" s="101">
        <f t="shared" si="412"/>
        <v>0</v>
      </c>
      <c r="P276" s="101">
        <f t="shared" si="412"/>
        <v>0</v>
      </c>
      <c r="Q276" s="101">
        <f t="shared" ref="Q276:S276" si="413">Q$123 * Q146</f>
        <v>0</v>
      </c>
      <c r="R276" s="101">
        <f t="shared" si="413"/>
        <v>0</v>
      </c>
      <c r="S276" s="101">
        <f t="shared" si="413"/>
        <v>0</v>
      </c>
      <c r="T276" s="101">
        <f t="shared" ref="T276" si="414">T$123 * T146</f>
        <v>0</v>
      </c>
      <c r="U276" s="83"/>
      <c r="V276" s="83"/>
      <c r="W276" s="83"/>
      <c r="X276" s="83"/>
      <c r="Y276" s="83"/>
      <c r="Z276" s="83"/>
      <c r="AA276" s="83"/>
      <c r="AB276" s="83"/>
    </row>
    <row r="277" spans="3:28" x14ac:dyDescent="0.25">
      <c r="C277" s="88"/>
      <c r="D277"/>
      <c r="F277" t="s">
        <v>190</v>
      </c>
      <c r="G277" t="s">
        <v>270</v>
      </c>
      <c r="J277" s="121">
        <f t="shared" ref="J277:K277" si="415">J$123 * J147</f>
        <v>0</v>
      </c>
      <c r="K277" s="121">
        <f t="shared" si="415"/>
        <v>0</v>
      </c>
      <c r="L277" s="121">
        <f t="shared" ref="L277:M277" si="416">L$123 * L147</f>
        <v>0</v>
      </c>
      <c r="M277" s="121">
        <f t="shared" si="416"/>
        <v>0</v>
      </c>
      <c r="N277" s="121">
        <f t="shared" ref="N277:P277" si="417">N$123 * N147</f>
        <v>0</v>
      </c>
      <c r="O277" s="121">
        <f t="shared" si="417"/>
        <v>0</v>
      </c>
      <c r="P277" s="121">
        <f t="shared" si="417"/>
        <v>0</v>
      </c>
      <c r="Q277" s="121">
        <f t="shared" ref="Q277:S277" si="418">Q$123 * Q147</f>
        <v>0</v>
      </c>
      <c r="R277" s="121">
        <f t="shared" si="418"/>
        <v>0</v>
      </c>
      <c r="S277" s="121">
        <f t="shared" si="418"/>
        <v>0</v>
      </c>
      <c r="T277" s="121">
        <f t="shared" ref="T277" si="419">T$123 * T147</f>
        <v>0</v>
      </c>
      <c r="U277" s="79"/>
      <c r="V277" s="79"/>
      <c r="W277" s="79"/>
      <c r="X277" s="79"/>
      <c r="Y277" s="79"/>
      <c r="Z277" s="79"/>
      <c r="AA277" s="79"/>
      <c r="AB277" s="79"/>
    </row>
    <row r="278" spans="3:28" x14ac:dyDescent="0.25">
      <c r="C278" s="88"/>
      <c r="D278"/>
      <c r="F278" t="s">
        <v>191</v>
      </c>
      <c r="G278" t="s">
        <v>270</v>
      </c>
      <c r="J278" s="121">
        <f t="shared" ref="J278:K278" si="420">J$123 * J148</f>
        <v>0</v>
      </c>
      <c r="K278" s="121">
        <f t="shared" si="420"/>
        <v>0</v>
      </c>
      <c r="L278" s="121">
        <f t="shared" ref="L278:M278" si="421">L$123 * L148</f>
        <v>0</v>
      </c>
      <c r="M278" s="121">
        <f t="shared" si="421"/>
        <v>0</v>
      </c>
      <c r="N278" s="121">
        <f t="shared" ref="N278:P278" si="422">N$123 * N148</f>
        <v>0</v>
      </c>
      <c r="O278" s="121">
        <f t="shared" si="422"/>
        <v>0</v>
      </c>
      <c r="P278" s="121">
        <f t="shared" si="422"/>
        <v>0</v>
      </c>
      <c r="Q278" s="121">
        <f t="shared" ref="Q278:S278" si="423">Q$123 * Q148</f>
        <v>0</v>
      </c>
      <c r="R278" s="121">
        <f t="shared" si="423"/>
        <v>0</v>
      </c>
      <c r="S278" s="121">
        <f t="shared" si="423"/>
        <v>0</v>
      </c>
      <c r="T278" s="121">
        <f t="shared" ref="T278" si="424">T$123 * T148</f>
        <v>0</v>
      </c>
      <c r="U278" s="79"/>
      <c r="V278" s="79"/>
      <c r="W278" s="79"/>
      <c r="X278" s="79"/>
      <c r="Y278" s="79"/>
      <c r="Z278" s="79"/>
      <c r="AA278" s="79"/>
      <c r="AB278" s="79"/>
    </row>
    <row r="279" spans="3:28" x14ac:dyDescent="0.25">
      <c r="C279" s="88"/>
      <c r="D279"/>
      <c r="F279" t="s">
        <v>192</v>
      </c>
      <c r="G279" t="s">
        <v>270</v>
      </c>
      <c r="J279" s="121">
        <f t="shared" ref="J279:K279" si="425">J$123 * J149</f>
        <v>0</v>
      </c>
      <c r="K279" s="121">
        <f t="shared" si="425"/>
        <v>0</v>
      </c>
      <c r="L279" s="121">
        <f t="shared" ref="L279:M279" si="426">L$123 * L149</f>
        <v>0</v>
      </c>
      <c r="M279" s="121">
        <f t="shared" si="426"/>
        <v>0</v>
      </c>
      <c r="N279" s="121">
        <f t="shared" ref="N279:P279" si="427">N$123 * N149</f>
        <v>0</v>
      </c>
      <c r="O279" s="121">
        <f t="shared" si="427"/>
        <v>0</v>
      </c>
      <c r="P279" s="121">
        <f t="shared" si="427"/>
        <v>0</v>
      </c>
      <c r="Q279" s="121">
        <f t="shared" ref="Q279:S279" si="428">Q$123 * Q149</f>
        <v>0</v>
      </c>
      <c r="R279" s="121">
        <f t="shared" si="428"/>
        <v>0</v>
      </c>
      <c r="S279" s="121">
        <f t="shared" si="428"/>
        <v>0</v>
      </c>
      <c r="T279" s="121">
        <f t="shared" ref="T279" si="429">T$123 * T149</f>
        <v>0</v>
      </c>
      <c r="U279" s="79"/>
      <c r="V279" s="79"/>
      <c r="W279" s="79"/>
      <c r="X279" s="79"/>
      <c r="Y279" s="79"/>
      <c r="Z279" s="79"/>
      <c r="AA279" s="79"/>
      <c r="AB279" s="79"/>
    </row>
    <row r="280" spans="3:28" x14ac:dyDescent="0.25">
      <c r="C280" s="88"/>
      <c r="D280"/>
      <c r="F280" t="s">
        <v>193</v>
      </c>
      <c r="G280" t="s">
        <v>270</v>
      </c>
      <c r="J280" s="121">
        <f t="shared" ref="J280:K280" si="430">J$123 * J150</f>
        <v>0</v>
      </c>
      <c r="K280" s="121">
        <f t="shared" si="430"/>
        <v>0</v>
      </c>
      <c r="L280" s="121">
        <f t="shared" ref="L280:M280" si="431">L$123 * L150</f>
        <v>0</v>
      </c>
      <c r="M280" s="121">
        <f t="shared" si="431"/>
        <v>0</v>
      </c>
      <c r="N280" s="121">
        <f t="shared" ref="N280:P280" si="432">N$123 * N150</f>
        <v>0</v>
      </c>
      <c r="O280" s="121">
        <f t="shared" si="432"/>
        <v>0</v>
      </c>
      <c r="P280" s="121">
        <f t="shared" si="432"/>
        <v>0</v>
      </c>
      <c r="Q280" s="121">
        <f t="shared" ref="Q280:S280" si="433">Q$123 * Q150</f>
        <v>0</v>
      </c>
      <c r="R280" s="121">
        <f t="shared" si="433"/>
        <v>0</v>
      </c>
      <c r="S280" s="121">
        <f t="shared" si="433"/>
        <v>0</v>
      </c>
      <c r="T280" s="121">
        <f t="shared" ref="T280" si="434">T$123 * T150</f>
        <v>0</v>
      </c>
      <c r="U280" s="79"/>
      <c r="V280" s="79"/>
      <c r="W280" s="79"/>
      <c r="X280" s="79"/>
      <c r="Y280" s="79"/>
      <c r="Z280" s="79"/>
      <c r="AA280" s="79"/>
      <c r="AB280" s="79"/>
    </row>
    <row r="281" spans="3:28" x14ac:dyDescent="0.25">
      <c r="C281" s="88"/>
      <c r="D281"/>
      <c r="F281" t="s">
        <v>194</v>
      </c>
      <c r="G281" t="s">
        <v>270</v>
      </c>
      <c r="J281" s="121">
        <f t="shared" ref="J281:K281" si="435">J$123 * J151</f>
        <v>0</v>
      </c>
      <c r="K281" s="121">
        <f t="shared" si="435"/>
        <v>0</v>
      </c>
      <c r="L281" s="121">
        <f t="shared" ref="L281:M281" si="436">L$123 * L151</f>
        <v>0</v>
      </c>
      <c r="M281" s="121">
        <f t="shared" si="436"/>
        <v>0</v>
      </c>
      <c r="N281" s="121">
        <f t="shared" ref="N281:P281" si="437">N$123 * N151</f>
        <v>0</v>
      </c>
      <c r="O281" s="121">
        <f t="shared" si="437"/>
        <v>0</v>
      </c>
      <c r="P281" s="121">
        <f t="shared" si="437"/>
        <v>0</v>
      </c>
      <c r="Q281" s="121">
        <f t="shared" ref="Q281:S281" si="438">Q$123 * Q151</f>
        <v>0</v>
      </c>
      <c r="R281" s="121">
        <f t="shared" si="438"/>
        <v>0</v>
      </c>
      <c r="S281" s="121">
        <f t="shared" si="438"/>
        <v>0</v>
      </c>
      <c r="T281" s="121">
        <f t="shared" ref="T281" si="439">T$123 * T151</f>
        <v>0</v>
      </c>
      <c r="U281" s="79"/>
      <c r="V281" s="79"/>
      <c r="W281" s="79"/>
      <c r="X281" s="79"/>
      <c r="Y281" s="79"/>
      <c r="Z281" s="79"/>
      <c r="AA281" s="79"/>
      <c r="AB281" s="79"/>
    </row>
    <row r="282" spans="3:28" x14ac:dyDescent="0.25">
      <c r="C282" s="88"/>
      <c r="D282"/>
      <c r="F282" t="s">
        <v>195</v>
      </c>
      <c r="G282" t="s">
        <v>270</v>
      </c>
      <c r="J282" s="121">
        <f t="shared" ref="J282:K282" si="440">J$123 * J152</f>
        <v>0</v>
      </c>
      <c r="K282" s="121">
        <f t="shared" si="440"/>
        <v>0</v>
      </c>
      <c r="L282" s="121">
        <f t="shared" ref="L282:M282" si="441">L$123 * L152</f>
        <v>0</v>
      </c>
      <c r="M282" s="121">
        <f t="shared" si="441"/>
        <v>0</v>
      </c>
      <c r="N282" s="121">
        <f t="shared" ref="N282:P282" si="442">N$123 * N152</f>
        <v>0</v>
      </c>
      <c r="O282" s="121">
        <f t="shared" si="442"/>
        <v>0</v>
      </c>
      <c r="P282" s="121">
        <f t="shared" si="442"/>
        <v>0</v>
      </c>
      <c r="Q282" s="121">
        <f t="shared" ref="Q282:S282" si="443">Q$123 * Q152</f>
        <v>0</v>
      </c>
      <c r="R282" s="121">
        <f t="shared" si="443"/>
        <v>0</v>
      </c>
      <c r="S282" s="121">
        <f t="shared" si="443"/>
        <v>0</v>
      </c>
      <c r="T282" s="121">
        <f t="shared" ref="T282" si="444">T$123 * T152</f>
        <v>0</v>
      </c>
      <c r="U282" s="79"/>
      <c r="V282" s="79"/>
      <c r="W282" s="79"/>
      <c r="X282" s="79"/>
      <c r="Y282" s="79"/>
      <c r="Z282" s="79"/>
      <c r="AA282" s="79"/>
      <c r="AB282" s="79"/>
    </row>
    <row r="283" spans="3:28" x14ac:dyDescent="0.25">
      <c r="C283" s="88"/>
      <c r="D283"/>
      <c r="F283" t="s">
        <v>196</v>
      </c>
      <c r="G283" t="s">
        <v>270</v>
      </c>
      <c r="J283" s="121">
        <f t="shared" ref="J283:K283" si="445">J$123 * J153</f>
        <v>0</v>
      </c>
      <c r="K283" s="121">
        <f t="shared" si="445"/>
        <v>0</v>
      </c>
      <c r="L283" s="121">
        <f t="shared" ref="L283:M283" si="446">L$123 * L153</f>
        <v>0</v>
      </c>
      <c r="M283" s="121">
        <f t="shared" si="446"/>
        <v>0</v>
      </c>
      <c r="N283" s="121">
        <f t="shared" ref="N283:P283" si="447">N$123 * N153</f>
        <v>0</v>
      </c>
      <c r="O283" s="121">
        <f t="shared" si="447"/>
        <v>0</v>
      </c>
      <c r="P283" s="121">
        <f t="shared" si="447"/>
        <v>0</v>
      </c>
      <c r="Q283" s="121">
        <f t="shared" ref="Q283:S283" si="448">Q$123 * Q153</f>
        <v>0</v>
      </c>
      <c r="R283" s="121">
        <f t="shared" si="448"/>
        <v>0</v>
      </c>
      <c r="S283" s="121">
        <f t="shared" si="448"/>
        <v>0</v>
      </c>
      <c r="T283" s="121">
        <f t="shared" ref="T283" si="449">T$123 * T153</f>
        <v>0</v>
      </c>
      <c r="U283" s="79"/>
      <c r="V283" s="79"/>
      <c r="W283" s="79"/>
      <c r="X283" s="79"/>
      <c r="Y283" s="79"/>
      <c r="Z283" s="79"/>
      <c r="AA283" s="79"/>
      <c r="AB283" s="79"/>
    </row>
    <row r="284" spans="3:28" x14ac:dyDescent="0.25">
      <c r="C284" s="88"/>
      <c r="D284"/>
      <c r="F284" t="s">
        <v>197</v>
      </c>
      <c r="G284" t="s">
        <v>270</v>
      </c>
      <c r="J284" s="121">
        <f t="shared" ref="J284:K284" si="450">J$123 * J154</f>
        <v>0</v>
      </c>
      <c r="K284" s="121">
        <f t="shared" si="450"/>
        <v>0</v>
      </c>
      <c r="L284" s="121">
        <f t="shared" ref="L284:M284" si="451">L$123 * L154</f>
        <v>0</v>
      </c>
      <c r="M284" s="121">
        <f t="shared" si="451"/>
        <v>0</v>
      </c>
      <c r="N284" s="121">
        <f t="shared" ref="N284:P284" si="452">N$123 * N154</f>
        <v>0</v>
      </c>
      <c r="O284" s="121">
        <f t="shared" si="452"/>
        <v>0</v>
      </c>
      <c r="P284" s="121">
        <f t="shared" si="452"/>
        <v>0</v>
      </c>
      <c r="Q284" s="121">
        <f t="shared" ref="Q284:S284" si="453">Q$123 * Q154</f>
        <v>0</v>
      </c>
      <c r="R284" s="121">
        <f t="shared" si="453"/>
        <v>0</v>
      </c>
      <c r="S284" s="121">
        <f t="shared" si="453"/>
        <v>0</v>
      </c>
      <c r="T284" s="121">
        <f t="shared" ref="T284" si="454">T$123 * T154</f>
        <v>0</v>
      </c>
      <c r="U284" s="79"/>
      <c r="V284" s="79"/>
      <c r="W284" s="79"/>
      <c r="X284" s="79"/>
      <c r="Y284" s="79"/>
      <c r="Z284" s="79"/>
      <c r="AA284" s="79"/>
      <c r="AB284" s="79"/>
    </row>
    <row r="285" spans="3:28" x14ac:dyDescent="0.25">
      <c r="C285" s="88"/>
      <c r="D285"/>
      <c r="F285" t="s">
        <v>198</v>
      </c>
      <c r="G285" t="s">
        <v>270</v>
      </c>
      <c r="J285" s="121">
        <f t="shared" ref="J285:K285" si="455">J$123 * J155</f>
        <v>0.74020135576371915</v>
      </c>
      <c r="K285" s="121">
        <f t="shared" si="455"/>
        <v>0</v>
      </c>
      <c r="L285" s="121">
        <f t="shared" ref="L285:M285" si="456">L$123 * L155</f>
        <v>0.74020135576371915</v>
      </c>
      <c r="M285" s="121">
        <f t="shared" si="456"/>
        <v>0</v>
      </c>
      <c r="N285" s="121">
        <f t="shared" ref="N285:P285" si="457">N$123 * N155</f>
        <v>0</v>
      </c>
      <c r="O285" s="121">
        <f t="shared" si="457"/>
        <v>0</v>
      </c>
      <c r="P285" s="121">
        <f t="shared" si="457"/>
        <v>0</v>
      </c>
      <c r="Q285" s="121">
        <f t="shared" ref="Q285:S285" si="458">Q$123 * Q155</f>
        <v>0</v>
      </c>
      <c r="R285" s="121">
        <f t="shared" si="458"/>
        <v>0</v>
      </c>
      <c r="S285" s="121">
        <f t="shared" si="458"/>
        <v>0</v>
      </c>
      <c r="T285" s="121">
        <f t="shared" ref="T285" si="459">T$123 * T155</f>
        <v>0</v>
      </c>
      <c r="U285" s="79"/>
      <c r="V285" s="79"/>
      <c r="W285" s="79"/>
      <c r="X285" s="79"/>
      <c r="Y285" s="79"/>
      <c r="Z285" s="79"/>
      <c r="AA285" s="79"/>
      <c r="AB285" s="79"/>
    </row>
    <row r="286" spans="3:28" x14ac:dyDescent="0.25">
      <c r="C286" s="88"/>
      <c r="D286"/>
      <c r="F286" t="s">
        <v>375</v>
      </c>
      <c r="G286" t="s">
        <v>270</v>
      </c>
      <c r="J286" s="79"/>
      <c r="K286" s="79"/>
      <c r="L286" s="79"/>
      <c r="M286" s="79"/>
      <c r="N286" s="79"/>
      <c r="O286" s="79"/>
      <c r="P286" s="79"/>
      <c r="Q286" s="79"/>
      <c r="R286" s="79"/>
      <c r="S286" s="79"/>
      <c r="T286" s="79"/>
      <c r="U286" s="79"/>
      <c r="V286" s="79"/>
      <c r="W286" s="79"/>
      <c r="X286" s="79"/>
      <c r="Y286" s="79"/>
      <c r="Z286" s="79"/>
      <c r="AA286" s="79"/>
      <c r="AB286" s="79"/>
    </row>
    <row r="287" spans="3:28" x14ac:dyDescent="0.25">
      <c r="C287" s="88"/>
      <c r="D287"/>
      <c r="F287" s="37" t="s">
        <v>376</v>
      </c>
      <c r="G287" s="37" t="s">
        <v>270</v>
      </c>
      <c r="H287" s="37"/>
      <c r="I287" s="37"/>
      <c r="J287" s="81"/>
      <c r="K287" s="81"/>
      <c r="L287" s="81"/>
      <c r="M287" s="81"/>
      <c r="N287" s="81"/>
      <c r="O287" s="81"/>
      <c r="P287" s="81"/>
      <c r="Q287" s="81"/>
      <c r="R287" s="81"/>
      <c r="S287" s="81"/>
      <c r="T287" s="81"/>
      <c r="U287" s="81"/>
      <c r="V287" s="81"/>
      <c r="W287" s="81"/>
      <c r="X287" s="81"/>
      <c r="Y287" s="81"/>
      <c r="Z287" s="81"/>
      <c r="AA287" s="81"/>
      <c r="AB287" s="81"/>
    </row>
    <row r="288" spans="3:28" x14ac:dyDescent="0.25">
      <c r="C288" s="88"/>
    </row>
    <row r="289" spans="2:30" x14ac:dyDescent="0.25">
      <c r="B289" s="30" t="s">
        <v>230</v>
      </c>
      <c r="C289" s="30"/>
      <c r="D289" s="30"/>
      <c r="E289" s="30"/>
      <c r="F289" s="30"/>
      <c r="G289" s="30"/>
      <c r="H289" s="30"/>
      <c r="I289" s="30"/>
      <c r="J289" s="30"/>
      <c r="K289" s="30"/>
      <c r="L289" s="30"/>
      <c r="M289" s="30"/>
      <c r="N289" s="30"/>
      <c r="O289" s="30"/>
      <c r="P289" s="30"/>
      <c r="Q289" s="30"/>
      <c r="R289" s="30"/>
      <c r="S289" s="30"/>
      <c r="T289" s="30"/>
      <c r="U289" s="30"/>
      <c r="V289" s="30"/>
      <c r="W289" s="30"/>
      <c r="X289" s="30"/>
      <c r="Y289" s="30"/>
      <c r="Z289" s="30"/>
      <c r="AA289" s="30"/>
      <c r="AB289" s="30"/>
      <c r="AC289" s="30"/>
      <c r="AD289" s="30"/>
    </row>
    <row r="291" spans="2:30" x14ac:dyDescent="0.25">
      <c r="C291" s="88"/>
      <c r="E291" t="s">
        <v>231</v>
      </c>
      <c r="G291" s="6" t="s">
        <v>54</v>
      </c>
      <c r="H291" s="187">
        <f t="array" ref="H291">SUM(IF(ISERROR(H51:AB287), 1))</f>
        <v>0</v>
      </c>
    </row>
    <row r="293" spans="2:30" x14ac:dyDescent="0.25">
      <c r="E293" t="s">
        <v>714</v>
      </c>
      <c r="G293" s="6" t="s">
        <v>54</v>
      </c>
      <c r="H293" s="187">
        <f>SUM(J293:AB293)</f>
        <v>0</v>
      </c>
      <c r="J293" s="187">
        <f t="shared" ref="J293:K293" si="460">IF(J121 + J123 &lt; 2, 0, 1)</f>
        <v>0</v>
      </c>
      <c r="K293" s="187">
        <f t="shared" si="460"/>
        <v>0</v>
      </c>
      <c r="L293" s="187">
        <f t="shared" ref="L293:M293" si="461">IF(L121 + L123 &lt; 2, 0, 1)</f>
        <v>0</v>
      </c>
      <c r="M293" s="187">
        <f t="shared" si="461"/>
        <v>0</v>
      </c>
      <c r="N293" s="187">
        <f t="shared" ref="N293:P293" si="462">IF(N121 + N123 &lt; 2, 0, 1)</f>
        <v>0</v>
      </c>
      <c r="O293" s="187">
        <f t="shared" si="462"/>
        <v>0</v>
      </c>
      <c r="P293" s="187">
        <f t="shared" si="462"/>
        <v>0</v>
      </c>
      <c r="Q293" s="187">
        <f t="shared" ref="Q293:S293" si="463">IF(Q121 + Q123 &lt; 2, 0, 1)</f>
        <v>0</v>
      </c>
      <c r="R293" s="187">
        <f t="shared" si="463"/>
        <v>0</v>
      </c>
      <c r="S293" s="187">
        <f t="shared" si="463"/>
        <v>0</v>
      </c>
      <c r="T293" s="187">
        <f t="shared" ref="T293:V293" si="464">IF(T121 + T123 &lt; 2, 0, 1)</f>
        <v>0</v>
      </c>
      <c r="U293" s="187">
        <f t="shared" si="464"/>
        <v>0</v>
      </c>
      <c r="V293" s="187">
        <f t="shared" si="464"/>
        <v>0</v>
      </c>
      <c r="W293" s="187">
        <f t="shared" ref="W293:X293" si="465">IF(W121 + W123 &lt; 2, 0, 1)</f>
        <v>0</v>
      </c>
      <c r="X293" s="187">
        <f t="shared" si="465"/>
        <v>0</v>
      </c>
      <c r="Y293" s="187">
        <f t="shared" ref="Y293:Z293" si="466">IF(Y121 + Y123 &lt; 2, 0, 1)</f>
        <v>0</v>
      </c>
      <c r="Z293" s="187">
        <f t="shared" si="466"/>
        <v>0</v>
      </c>
      <c r="AA293" s="187">
        <f t="shared" ref="AA293:AB293" si="467">IF(AA121 + AA123 &lt; 2, 0, 1)</f>
        <v>0</v>
      </c>
      <c r="AB293" s="187">
        <f t="shared" si="467"/>
        <v>0</v>
      </c>
    </row>
    <row r="295" spans="2:30" x14ac:dyDescent="0.25">
      <c r="C295" s="88"/>
      <c r="E295" t="s">
        <v>238</v>
      </c>
      <c r="G295" s="6" t="s">
        <v>54</v>
      </c>
      <c r="H295" s="26">
        <f>H291 + H293</f>
        <v>0</v>
      </c>
    </row>
    <row r="297" spans="2:30" x14ac:dyDescent="0.25">
      <c r="B297" s="30" t="s">
        <v>105</v>
      </c>
      <c r="C297" s="30"/>
      <c r="D297" s="30"/>
      <c r="E297" s="30"/>
      <c r="F297" s="30"/>
      <c r="G297" s="30"/>
      <c r="H297" s="30"/>
      <c r="I297" s="30"/>
      <c r="J297" s="30"/>
      <c r="K297" s="30"/>
      <c r="L297" s="30"/>
      <c r="M297" s="30"/>
      <c r="N297" s="30"/>
      <c r="O297" s="30"/>
      <c r="P297" s="30"/>
      <c r="Q297" s="30"/>
      <c r="R297" s="30"/>
      <c r="S297" s="30"/>
      <c r="T297" s="30"/>
      <c r="U297" s="30"/>
      <c r="V297" s="30"/>
      <c r="W297" s="30"/>
      <c r="X297" s="30"/>
      <c r="Y297" s="30"/>
      <c r="Z297" s="30"/>
      <c r="AA297" s="30"/>
      <c r="AB297" s="30"/>
      <c r="AC297" s="30"/>
      <c r="AD297" s="30"/>
    </row>
  </sheetData>
  <sheetProtection sheet="1" objects="1" formatCells="0" formatColumns="0" formatRows="0" sort="0" autoFilter="0"/>
  <conditionalFormatting sqref="H291">
    <cfRule type="cellIs" dxfId="71" priority="21" operator="greaterThan">
      <formula>0</formula>
    </cfRule>
  </conditionalFormatting>
  <conditionalFormatting sqref="H293">
    <cfRule type="cellIs" dxfId="70" priority="20" operator="greaterThan">
      <formula>0</formula>
    </cfRule>
  </conditionalFormatting>
  <conditionalFormatting sqref="H295">
    <cfRule type="cellIs" dxfId="69" priority="18" operator="greaterThan">
      <formula>0</formula>
    </cfRule>
  </conditionalFormatting>
  <conditionalFormatting sqref="A4:I4 AC4:XFD4">
    <cfRule type="expression" dxfId="68" priority="17">
      <formula>LEFT($A$4,1) &lt;&gt; "0"</formula>
    </cfRule>
  </conditionalFormatting>
  <conditionalFormatting sqref="N293:S293">
    <cfRule type="cellIs" dxfId="67" priority="16" operator="greaterThan">
      <formula>0</formula>
    </cfRule>
  </conditionalFormatting>
  <conditionalFormatting sqref="N4:S4">
    <cfRule type="expression" dxfId="66" priority="15">
      <formula>LEFT($A$4,1) &lt;&gt; "0"</formula>
    </cfRule>
  </conditionalFormatting>
  <conditionalFormatting sqref="L293:M293">
    <cfRule type="cellIs" dxfId="65" priority="14" operator="greaterThan">
      <formula>0</formula>
    </cfRule>
  </conditionalFormatting>
  <conditionalFormatting sqref="L4:M4">
    <cfRule type="expression" dxfId="64" priority="13">
      <formula>LEFT($A$4,1) &lt;&gt; "0"</formula>
    </cfRule>
  </conditionalFormatting>
  <conditionalFormatting sqref="J293:K293">
    <cfRule type="cellIs" dxfId="63" priority="12" operator="greaterThan">
      <formula>0</formula>
    </cfRule>
  </conditionalFormatting>
  <conditionalFormatting sqref="J4:K4">
    <cfRule type="expression" dxfId="62" priority="11">
      <formula>LEFT($A$4,1) &lt;&gt; "0"</formula>
    </cfRule>
  </conditionalFormatting>
  <conditionalFormatting sqref="T293">
    <cfRule type="cellIs" dxfId="61" priority="10" operator="greaterThan">
      <formula>0</formula>
    </cfRule>
  </conditionalFormatting>
  <conditionalFormatting sqref="T4">
    <cfRule type="expression" dxfId="60" priority="9">
      <formula>LEFT($A$4,1) &lt;&gt; "0"</formula>
    </cfRule>
  </conditionalFormatting>
  <conditionalFormatting sqref="U293:V293">
    <cfRule type="cellIs" dxfId="59" priority="8" operator="greaterThan">
      <formula>0</formula>
    </cfRule>
  </conditionalFormatting>
  <conditionalFormatting sqref="U4:V4">
    <cfRule type="expression" dxfId="58" priority="7">
      <formula>LEFT($A$4,1) &lt;&gt; "0"</formula>
    </cfRule>
  </conditionalFormatting>
  <conditionalFormatting sqref="W293:X293">
    <cfRule type="cellIs" dxfId="57" priority="6" operator="greaterThan">
      <formula>0</formula>
    </cfRule>
  </conditionalFormatting>
  <conditionalFormatting sqref="W4:X4">
    <cfRule type="expression" dxfId="56" priority="5">
      <formula>LEFT($A$4,1) &lt;&gt; "0"</formula>
    </cfRule>
  </conditionalFormatting>
  <conditionalFormatting sqref="Y293:Z293">
    <cfRule type="cellIs" dxfId="55" priority="4" operator="greaterThan">
      <formula>0</formula>
    </cfRule>
  </conditionalFormatting>
  <conditionalFormatting sqref="Y4:Z4">
    <cfRule type="expression" dxfId="54" priority="3">
      <formula>LEFT($A$4,1) &lt;&gt; "0"</formula>
    </cfRule>
  </conditionalFormatting>
  <conditionalFormatting sqref="AA293:AB293">
    <cfRule type="cellIs" dxfId="53" priority="2" operator="greaterThan">
      <formula>0</formula>
    </cfRule>
  </conditionalFormatting>
  <conditionalFormatting sqref="AA4:AB4">
    <cfRule type="expression" dxfId="52" priority="1">
      <formula>LEFT($A$4,1) &lt;&gt; "0"</formula>
    </cfRule>
  </conditionalFormatting>
  <hyperlinks>
    <hyperlink ref="B5:F5" location="'Model map'!A1" display="Click here to return to model map" xr:uid="{00000000-0004-0000-1500-000000000000}"/>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3">
    <tabColor theme="4" tint="0.59999389629810485"/>
    <pageSetUpPr fitToPage="1"/>
  </sheetPr>
  <dimension ref="A1:LC169"/>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8" width="17" customWidth="1"/>
    <col min="29" max="29" width="2.42578125" customWidth="1"/>
    <col min="30" max="30" width="50.5703125" customWidth="1"/>
    <col min="31" max="31" width="2.42578125" customWidth="1"/>
    <col min="32" max="32" width="24.5703125" hidden="1" customWidth="1"/>
    <col min="33" max="33" width="3.5703125" hidden="1" customWidth="1"/>
    <col min="34" max="34" width="15.42578125" hidden="1" customWidth="1"/>
    <col min="35" max="315" width="24.5703125" hidden="1" customWidth="1"/>
    <col min="316" max="16384" width="8.5703125" hidden="1"/>
  </cols>
  <sheetData>
    <row r="1" spans="1:30" s="1" customFormat="1" x14ac:dyDescent="0.25">
      <c r="A1" s="1" t="str">
        <f ca="1">MID(CELL("filename",A1),FIND("]",CELL("filename",A1))+1,255)</f>
        <v>Fixed charges</v>
      </c>
    </row>
    <row r="2" spans="1:30" s="1" customFormat="1" x14ac:dyDescent="0.25">
      <c r="A2" s="1" t="str">
        <f>Cover!D21&amp;" - "&amp;Cover!D23</f>
        <v>SP Distribution - Two</v>
      </c>
    </row>
    <row r="3" spans="1:30" s="5" customFormat="1" x14ac:dyDescent="0.25">
      <c r="A3" s="5" t="str">
        <f>Cover!D2&amp;" - "&amp;Cover!D8&amp;" v"&amp;Cover!D10&amp;" - "&amp;Cover!D19</f>
        <v>CDCM charging model - Release for charge setting v6 - 2021/22</v>
      </c>
    </row>
    <row r="4" spans="1:30" x14ac:dyDescent="0.25">
      <c r="A4" s="12" t="str">
        <f>H165 &amp; IF(H165 = 1, " issue", " issues") &amp;" identified in checks on this sheet"</f>
        <v>0 issues identified in checks on this sheet</v>
      </c>
      <c r="B4" s="13"/>
      <c r="C4" s="13"/>
      <c r="D4" s="13"/>
      <c r="E4" s="13"/>
      <c r="F4" s="13"/>
      <c r="G4" s="13"/>
      <c r="H4" s="14"/>
      <c r="I4" s="14"/>
    </row>
    <row r="5" spans="1:30" ht="60" x14ac:dyDescent="0.25">
      <c r="B5" s="59" t="s">
        <v>141</v>
      </c>
      <c r="C5" s="60"/>
      <c r="D5" s="60"/>
      <c r="E5" s="60"/>
      <c r="F5" s="60"/>
      <c r="G5" s="61" t="s">
        <v>142</v>
      </c>
      <c r="H5" s="62" t="s">
        <v>143</v>
      </c>
      <c r="J5" s="62" t="s">
        <v>893</v>
      </c>
      <c r="K5" s="62" t="s">
        <v>895</v>
      </c>
      <c r="L5" s="62" t="s">
        <v>894</v>
      </c>
      <c r="M5" s="62" t="s">
        <v>896</v>
      </c>
      <c r="N5" s="62" t="s">
        <v>902</v>
      </c>
      <c r="O5" s="62" t="s">
        <v>903</v>
      </c>
      <c r="P5" s="62" t="s">
        <v>904</v>
      </c>
      <c r="Q5" s="62" t="s">
        <v>1027</v>
      </c>
      <c r="R5" s="62" t="s">
        <v>1028</v>
      </c>
      <c r="S5" s="62" t="s">
        <v>1029</v>
      </c>
      <c r="T5" s="62" t="s">
        <v>905</v>
      </c>
      <c r="U5" s="62" t="s">
        <v>897</v>
      </c>
      <c r="V5" s="62" t="s">
        <v>898</v>
      </c>
      <c r="W5" s="62" t="s">
        <v>899</v>
      </c>
      <c r="X5" s="62" t="s">
        <v>908</v>
      </c>
      <c r="Y5" s="62" t="s">
        <v>900</v>
      </c>
      <c r="Z5" s="62" t="s">
        <v>907</v>
      </c>
      <c r="AA5" s="62" t="s">
        <v>901</v>
      </c>
      <c r="AB5" s="62" t="s">
        <v>906</v>
      </c>
      <c r="AD5" s="61" t="s">
        <v>144</v>
      </c>
    </row>
    <row r="7" spans="1:30" x14ac:dyDescent="0.25">
      <c r="B7" s="30" t="s">
        <v>9</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row>
    <row r="9" spans="1:30" x14ac:dyDescent="0.25">
      <c r="D9" s="29" t="s">
        <v>715</v>
      </c>
      <c r="E9"/>
    </row>
    <row r="10" spans="1:30" x14ac:dyDescent="0.25">
      <c r="D10" s="91" t="s">
        <v>716</v>
      </c>
      <c r="E10"/>
    </row>
    <row r="11" spans="1:30" x14ac:dyDescent="0.25">
      <c r="D11" s="29" t="s">
        <v>717</v>
      </c>
      <c r="E11"/>
    </row>
    <row r="12" spans="1:30" x14ac:dyDescent="0.25">
      <c r="D12" s="91" t="s">
        <v>718</v>
      </c>
      <c r="E12"/>
    </row>
    <row r="14" spans="1:30" x14ac:dyDescent="0.25">
      <c r="B14" s="30" t="s">
        <v>719</v>
      </c>
      <c r="C14" s="30"/>
      <c r="D14" s="30"/>
      <c r="E14" s="30"/>
      <c r="F14" s="30"/>
      <c r="G14" s="30"/>
      <c r="H14" s="30"/>
      <c r="I14" s="30"/>
      <c r="J14" s="30"/>
      <c r="K14" s="30"/>
      <c r="L14" s="30"/>
      <c r="M14" s="30"/>
      <c r="N14" s="30"/>
      <c r="O14" s="30"/>
      <c r="P14" s="30"/>
      <c r="Q14" s="30"/>
      <c r="R14" s="30"/>
      <c r="S14" s="30"/>
      <c r="T14" s="30"/>
      <c r="U14" s="30"/>
      <c r="V14" s="30"/>
      <c r="W14" s="30"/>
      <c r="X14" s="30"/>
      <c r="Y14" s="30"/>
      <c r="Z14" s="30"/>
      <c r="AA14" s="30"/>
      <c r="AB14" s="30"/>
      <c r="AC14" s="30"/>
      <c r="AD14" s="30"/>
    </row>
    <row r="16" spans="1:30" x14ac:dyDescent="0.25">
      <c r="C16" s="31" t="str">
        <f ca="1">INDEX('Version control'!$H$34:$H$57,MATCH($A$1,'Version control'!$F$34:$F$57,0),1)&amp;"-A: Volumes (discounted MPANs &amp; maximum load)"</f>
        <v>Section 114-A: Volumes (discounted MPANs &amp; maximum load)</v>
      </c>
      <c r="D16" s="31"/>
      <c r="E16" s="31"/>
      <c r="F16" s="31"/>
      <c r="G16" s="31"/>
      <c r="H16" s="31"/>
      <c r="I16" s="31"/>
      <c r="J16" s="31"/>
      <c r="K16" s="31"/>
      <c r="L16" s="31"/>
      <c r="M16" s="31"/>
      <c r="N16" s="31"/>
      <c r="O16" s="31"/>
      <c r="P16" s="31"/>
      <c r="Q16" s="31"/>
      <c r="R16" s="31"/>
      <c r="S16" s="31"/>
      <c r="T16" s="31"/>
      <c r="U16" s="31"/>
      <c r="V16" s="31"/>
      <c r="W16" s="31"/>
      <c r="X16" s="31"/>
      <c r="Y16" s="31"/>
      <c r="Z16" s="31"/>
      <c r="AA16" s="31"/>
      <c r="AB16" s="31"/>
      <c r="AC16" s="31"/>
      <c r="AD16" s="31"/>
    </row>
    <row r="17" spans="3:30" x14ac:dyDescent="0.25">
      <c r="D17"/>
      <c r="E17" s="32"/>
      <c r="I17" t="s">
        <v>153</v>
      </c>
      <c r="AD17" t="s">
        <v>720</v>
      </c>
    </row>
    <row r="18" spans="3:30" x14ac:dyDescent="0.25">
      <c r="C18" s="88"/>
      <c r="E18" t="s">
        <v>548</v>
      </c>
      <c r="G18" t="s">
        <v>211</v>
      </c>
      <c r="J18" s="120">
        <f>'Volume adjustments'!J103</f>
        <v>1900944.7731327738</v>
      </c>
      <c r="K18" s="120">
        <f>'Volume adjustments'!K103</f>
        <v>100130.921763869</v>
      </c>
      <c r="L18" s="120">
        <f>'Volume adjustments'!L103</f>
        <v>126260.16198819576</v>
      </c>
      <c r="M18" s="120">
        <f>'Volume adjustments'!M103</f>
        <v>7441</v>
      </c>
      <c r="N18" s="120">
        <f>'Volume adjustments'!N103</f>
        <v>10688.330482751717</v>
      </c>
      <c r="O18" s="120">
        <f>'Volume adjustments'!O103</f>
        <v>235.94699537145465</v>
      </c>
      <c r="P18" s="120">
        <f>'Volume adjustments'!P103</f>
        <v>1279.4477972038226</v>
      </c>
      <c r="Q18" s="120">
        <f>'Volume adjustments'!Q103</f>
        <v>0</v>
      </c>
      <c r="R18" s="120">
        <f>'Volume adjustments'!R103</f>
        <v>0</v>
      </c>
      <c r="S18" s="120">
        <f>'Volume adjustments'!S103</f>
        <v>0</v>
      </c>
      <c r="T18" s="120">
        <f>'Volume adjustments'!T103</f>
        <v>4906.9507149127448</v>
      </c>
      <c r="U18" s="120">
        <f>'Volume adjustments'!U103</f>
        <v>167</v>
      </c>
      <c r="V18" s="120">
        <f>'Volume adjustments'!V103</f>
        <v>4</v>
      </c>
      <c r="W18" s="120">
        <f>'Volume adjustments'!W103</f>
        <v>472</v>
      </c>
      <c r="X18" s="120">
        <f>'Volume adjustments'!X103</f>
        <v>0</v>
      </c>
      <c r="Y18" s="120">
        <f>'Volume adjustments'!Y103</f>
        <v>8</v>
      </c>
      <c r="Z18" s="120">
        <f>'Volume adjustments'!Z103</f>
        <v>0</v>
      </c>
      <c r="AA18" s="120">
        <f>'Volume adjustments'!AA103</f>
        <v>255</v>
      </c>
      <c r="AB18" s="120">
        <f>'Volume adjustments'!AB103</f>
        <v>0</v>
      </c>
    </row>
    <row r="19" spans="3:30" x14ac:dyDescent="0.25">
      <c r="C19" s="88"/>
      <c r="E19"/>
      <c r="J19" s="120"/>
      <c r="K19" s="120"/>
      <c r="L19" s="120"/>
      <c r="M19" s="120"/>
      <c r="N19" s="120"/>
      <c r="O19" s="120"/>
      <c r="P19" s="120"/>
      <c r="Q19" s="120"/>
      <c r="R19" s="120"/>
      <c r="S19" s="120"/>
      <c r="T19" s="120"/>
      <c r="U19" s="120"/>
      <c r="V19" s="120"/>
      <c r="W19" s="120"/>
      <c r="X19" s="120"/>
      <c r="Y19" s="120"/>
      <c r="Z19" s="120"/>
      <c r="AA19" s="120"/>
      <c r="AB19" s="120"/>
    </row>
    <row r="20" spans="3:30" x14ac:dyDescent="0.25">
      <c r="C20" s="88"/>
      <c r="E20" t="s">
        <v>470</v>
      </c>
      <c r="G20" t="s">
        <v>171</v>
      </c>
      <c r="H20" s="63"/>
      <c r="J20" s="120">
        <f>'System peak demand'!J200</f>
        <v>1482.2201033071178</v>
      </c>
      <c r="K20" s="120">
        <f>'System peak demand'!K200</f>
        <v>310.25539511865327</v>
      </c>
      <c r="L20" s="120">
        <f>'System peak demand'!L200</f>
        <v>603.09926192279704</v>
      </c>
      <c r="M20" s="120">
        <f>'System peak demand'!M200</f>
        <v>29.271123921146547</v>
      </c>
      <c r="N20" s="120">
        <f>'System peak demand'!N200</f>
        <v>577.18884698315355</v>
      </c>
      <c r="O20" s="120">
        <f>'System peak demand'!O200</f>
        <v>40.190979829404341</v>
      </c>
      <c r="P20" s="120">
        <f>'System peak demand'!P200</f>
        <v>537.444083952818</v>
      </c>
      <c r="Q20" s="120">
        <f>'System peak demand'!Q200</f>
        <v>0</v>
      </c>
      <c r="R20" s="120">
        <f>'System peak demand'!R200</f>
        <v>0</v>
      </c>
      <c r="S20" s="120">
        <f>'System peak demand'!S200</f>
        <v>0</v>
      </c>
      <c r="T20" s="120">
        <f>'System peak demand'!T200</f>
        <v>63.804570784787025</v>
      </c>
      <c r="U20" s="120">
        <f>'System peak demand'!U200</f>
        <v>0</v>
      </c>
      <c r="V20" s="120">
        <f>'System peak demand'!V200</f>
        <v>0</v>
      </c>
      <c r="W20" s="120">
        <f>'System peak demand'!W200</f>
        <v>0</v>
      </c>
      <c r="X20" s="120">
        <f>'System peak demand'!X200</f>
        <v>0</v>
      </c>
      <c r="Y20" s="120">
        <f>'System peak demand'!Y200</f>
        <v>0</v>
      </c>
      <c r="Z20" s="120">
        <f>'System peak demand'!Z200</f>
        <v>0</v>
      </c>
      <c r="AA20" s="120">
        <f>'System peak demand'!AA200</f>
        <v>0</v>
      </c>
      <c r="AB20" s="120">
        <f>'System peak demand'!AB200</f>
        <v>0</v>
      </c>
    </row>
    <row r="21" spans="3:30" x14ac:dyDescent="0.25">
      <c r="J21" s="89"/>
      <c r="K21" s="89"/>
      <c r="L21" s="89"/>
      <c r="M21" s="89"/>
      <c r="N21" s="89"/>
      <c r="O21" s="89"/>
      <c r="P21" s="89"/>
      <c r="Q21" s="89"/>
      <c r="R21" s="89"/>
      <c r="S21" s="89"/>
      <c r="T21" s="89"/>
      <c r="U21" s="89"/>
      <c r="V21" s="89"/>
      <c r="W21" s="89"/>
      <c r="X21" s="89"/>
      <c r="Y21" s="89"/>
      <c r="Z21" s="89"/>
      <c r="AA21" s="89"/>
      <c r="AB21" s="89"/>
    </row>
    <row r="22" spans="3:30" x14ac:dyDescent="0.25">
      <c r="C22" s="31" t="str">
        <f ca="1">INDEX('Version control'!$H$34:$H$57,MATCH($A$1,'Version control'!$F$34:$F$57,0),1)&amp;"-B: Capacity elements allocated to fixed charges"</f>
        <v>Section 114-B: Capacity elements allocated to fixed charges</v>
      </c>
      <c r="D22" s="31"/>
      <c r="E22" s="31"/>
      <c r="F22" s="31"/>
      <c r="G22" s="31"/>
      <c r="H22" s="31"/>
      <c r="I22" s="31"/>
      <c r="J22" s="90"/>
      <c r="K22" s="90"/>
      <c r="L22" s="90"/>
      <c r="M22" s="90"/>
      <c r="N22" s="90"/>
      <c r="O22" s="90"/>
      <c r="P22" s="90"/>
      <c r="Q22" s="90"/>
      <c r="R22" s="90"/>
      <c r="S22" s="90"/>
      <c r="T22" s="90"/>
      <c r="U22" s="90"/>
      <c r="V22" s="90"/>
      <c r="W22" s="90"/>
      <c r="X22" s="90"/>
      <c r="Y22" s="90"/>
      <c r="Z22" s="90"/>
      <c r="AA22" s="90"/>
      <c r="AB22" s="90"/>
      <c r="AC22" s="31"/>
      <c r="AD22" s="31"/>
    </row>
    <row r="23" spans="3:30" x14ac:dyDescent="0.25">
      <c r="D23"/>
      <c r="E23" s="32"/>
      <c r="I23" t="s">
        <v>153</v>
      </c>
      <c r="J23" s="89"/>
      <c r="K23" s="89"/>
      <c r="L23" s="89"/>
      <c r="M23" s="89"/>
      <c r="N23" s="89"/>
      <c r="O23" s="89"/>
      <c r="P23" s="89"/>
      <c r="Q23" s="89"/>
      <c r="R23" s="89"/>
      <c r="S23" s="89"/>
      <c r="T23" s="89"/>
      <c r="U23" s="89"/>
      <c r="V23" s="89"/>
      <c r="W23" s="89"/>
      <c r="X23" s="89"/>
      <c r="Y23" s="89"/>
      <c r="Z23" s="89"/>
      <c r="AA23" s="89"/>
      <c r="AB23" s="89"/>
      <c r="AD23" t="s">
        <v>720</v>
      </c>
    </row>
    <row r="24" spans="3:30" x14ac:dyDescent="0.25">
      <c r="C24" s="88"/>
      <c r="E24" s="32" t="s">
        <v>620</v>
      </c>
      <c r="J24" s="89"/>
      <c r="K24" s="89"/>
      <c r="L24" s="89"/>
      <c r="M24" s="89"/>
      <c r="N24" s="89"/>
      <c r="O24" s="89"/>
      <c r="P24" s="89"/>
      <c r="Q24" s="89"/>
      <c r="R24" s="89"/>
      <c r="S24" s="89"/>
      <c r="T24" s="89"/>
      <c r="U24" s="89"/>
      <c r="V24" s="89"/>
      <c r="W24" s="89"/>
      <c r="X24" s="89"/>
      <c r="Y24" s="89"/>
      <c r="Z24" s="89"/>
      <c r="AA24" s="89"/>
      <c r="AB24" s="89"/>
    </row>
    <row r="25" spans="3:30" x14ac:dyDescent="0.25">
      <c r="C25" s="88"/>
      <c r="E25" s="29"/>
      <c r="F25" s="23" t="s">
        <v>188</v>
      </c>
      <c r="G25" s="23" t="s">
        <v>270</v>
      </c>
      <c r="H25" s="23"/>
      <c r="I25" s="23"/>
      <c r="J25" s="83"/>
      <c r="K25" s="83"/>
      <c r="L25" s="83"/>
      <c r="M25" s="83"/>
      <c r="N25" s="83"/>
      <c r="O25" s="83"/>
      <c r="P25" s="83"/>
      <c r="Q25" s="83"/>
      <c r="R25" s="83"/>
      <c r="S25" s="83"/>
      <c r="T25" s="83"/>
      <c r="U25" s="83"/>
      <c r="V25" s="83"/>
      <c r="W25" s="83"/>
      <c r="X25" s="83"/>
      <c r="Y25" s="83"/>
      <c r="Z25" s="83"/>
      <c r="AA25" s="83"/>
      <c r="AB25" s="83"/>
    </row>
    <row r="26" spans="3:30" x14ac:dyDescent="0.25">
      <c r="C26" s="88"/>
      <c r="E26" s="29"/>
      <c r="F26" t="s">
        <v>190</v>
      </c>
      <c r="G26" t="s">
        <v>270</v>
      </c>
      <c r="J26" s="79"/>
      <c r="K26" s="79"/>
      <c r="L26" s="79"/>
      <c r="M26" s="79"/>
      <c r="N26" s="79"/>
      <c r="O26" s="79"/>
      <c r="P26" s="79"/>
      <c r="Q26" s="79"/>
      <c r="R26" s="79"/>
      <c r="S26" s="79"/>
      <c r="T26" s="79"/>
      <c r="U26" s="79"/>
      <c r="V26" s="79"/>
      <c r="W26" s="79"/>
      <c r="X26" s="79"/>
      <c r="Y26" s="79"/>
      <c r="Z26" s="79"/>
      <c r="AA26" s="79"/>
      <c r="AB26" s="79"/>
    </row>
    <row r="27" spans="3:30" x14ac:dyDescent="0.25">
      <c r="C27" s="88"/>
      <c r="E27" s="29"/>
      <c r="F27" t="s">
        <v>191</v>
      </c>
      <c r="G27" t="s">
        <v>270</v>
      </c>
      <c r="J27" s="120">
        <f>'Capacity charges'!J264</f>
        <v>0</v>
      </c>
      <c r="K27" s="120">
        <f>'Capacity charges'!K264</f>
        <v>0</v>
      </c>
      <c r="L27" s="120">
        <f>'Capacity charges'!L264</f>
        <v>0</v>
      </c>
      <c r="M27" s="120">
        <f>'Capacity charges'!M264</f>
        <v>0</v>
      </c>
      <c r="N27" s="120">
        <f>'Capacity charges'!N264</f>
        <v>0</v>
      </c>
      <c r="O27" s="120">
        <f>'Capacity charges'!O264</f>
        <v>0</v>
      </c>
      <c r="P27" s="120">
        <f>'Capacity charges'!P264</f>
        <v>0</v>
      </c>
      <c r="Q27" s="120">
        <f>'Capacity charges'!Q264</f>
        <v>0</v>
      </c>
      <c r="R27" s="120">
        <f>'Capacity charges'!R264</f>
        <v>0</v>
      </c>
      <c r="S27" s="120">
        <f>'Capacity charges'!S264</f>
        <v>0</v>
      </c>
      <c r="T27" s="120">
        <f>'Capacity charges'!T264</f>
        <v>0</v>
      </c>
      <c r="U27" s="120">
        <f>'Capacity charges'!U264</f>
        <v>0</v>
      </c>
      <c r="V27" s="120">
        <f>'Capacity charges'!V264</f>
        <v>0</v>
      </c>
      <c r="W27" s="120">
        <f>'Capacity charges'!W264</f>
        <v>0</v>
      </c>
      <c r="X27" s="120">
        <f>'Capacity charges'!X264</f>
        <v>0</v>
      </c>
      <c r="Y27" s="120">
        <f>'Capacity charges'!Y264</f>
        <v>0</v>
      </c>
      <c r="Z27" s="120">
        <f>'Capacity charges'!Z264</f>
        <v>0</v>
      </c>
      <c r="AA27" s="120">
        <f>'Capacity charges'!AA264</f>
        <v>0</v>
      </c>
      <c r="AB27" s="120">
        <f>'Capacity charges'!AB264</f>
        <v>0</v>
      </c>
    </row>
    <row r="28" spans="3:30" x14ac:dyDescent="0.25">
      <c r="C28" s="88"/>
      <c r="E28" s="29"/>
      <c r="F28" t="s">
        <v>192</v>
      </c>
      <c r="G28" t="s">
        <v>270</v>
      </c>
      <c r="J28" s="120">
        <f>'Capacity charges'!J265</f>
        <v>0</v>
      </c>
      <c r="K28" s="120">
        <f>'Capacity charges'!K265</f>
        <v>0</v>
      </c>
      <c r="L28" s="120">
        <f>'Capacity charges'!L265</f>
        <v>0</v>
      </c>
      <c r="M28" s="120">
        <f>'Capacity charges'!M265</f>
        <v>0</v>
      </c>
      <c r="N28" s="120">
        <f>'Capacity charges'!N265</f>
        <v>0</v>
      </c>
      <c r="O28" s="120">
        <f>'Capacity charges'!O265</f>
        <v>0</v>
      </c>
      <c r="P28" s="120">
        <f>'Capacity charges'!P265</f>
        <v>0</v>
      </c>
      <c r="Q28" s="120">
        <f>'Capacity charges'!Q265</f>
        <v>0</v>
      </c>
      <c r="R28" s="120">
        <f>'Capacity charges'!R265</f>
        <v>0</v>
      </c>
      <c r="S28" s="120">
        <f>'Capacity charges'!S265</f>
        <v>0</v>
      </c>
      <c r="T28" s="120">
        <f>'Capacity charges'!T265</f>
        <v>0</v>
      </c>
      <c r="U28" s="120">
        <f>'Capacity charges'!U265</f>
        <v>0</v>
      </c>
      <c r="V28" s="120">
        <f>'Capacity charges'!V265</f>
        <v>0</v>
      </c>
      <c r="W28" s="120">
        <f>'Capacity charges'!W265</f>
        <v>0</v>
      </c>
      <c r="X28" s="120">
        <f>'Capacity charges'!X265</f>
        <v>0</v>
      </c>
      <c r="Y28" s="120">
        <f>'Capacity charges'!Y265</f>
        <v>0</v>
      </c>
      <c r="Z28" s="120">
        <f>'Capacity charges'!Z265</f>
        <v>0</v>
      </c>
      <c r="AA28" s="120">
        <f>'Capacity charges'!AA265</f>
        <v>0</v>
      </c>
      <c r="AB28" s="120">
        <f>'Capacity charges'!AB265</f>
        <v>0</v>
      </c>
    </row>
    <row r="29" spans="3:30" x14ac:dyDescent="0.25">
      <c r="C29" s="88"/>
      <c r="E29" s="29"/>
      <c r="F29" t="s">
        <v>193</v>
      </c>
      <c r="G29" t="s">
        <v>270</v>
      </c>
      <c r="J29" s="120">
        <f>'Capacity charges'!J266</f>
        <v>0</v>
      </c>
      <c r="K29" s="120">
        <f>'Capacity charges'!K266</f>
        <v>0</v>
      </c>
      <c r="L29" s="120">
        <f>'Capacity charges'!L266</f>
        <v>0</v>
      </c>
      <c r="M29" s="120">
        <f>'Capacity charges'!M266</f>
        <v>0</v>
      </c>
      <c r="N29" s="120">
        <f>'Capacity charges'!N266</f>
        <v>0</v>
      </c>
      <c r="O29" s="120">
        <f>'Capacity charges'!O266</f>
        <v>0</v>
      </c>
      <c r="P29" s="120">
        <f>'Capacity charges'!P266</f>
        <v>0</v>
      </c>
      <c r="Q29" s="120">
        <f>'Capacity charges'!Q266</f>
        <v>0</v>
      </c>
      <c r="R29" s="120">
        <f>'Capacity charges'!R266</f>
        <v>0</v>
      </c>
      <c r="S29" s="120">
        <f>'Capacity charges'!S266</f>
        <v>0</v>
      </c>
      <c r="T29" s="120">
        <f>'Capacity charges'!T266</f>
        <v>0</v>
      </c>
      <c r="U29" s="120">
        <f>'Capacity charges'!U266</f>
        <v>0</v>
      </c>
      <c r="V29" s="120">
        <f>'Capacity charges'!V266</f>
        <v>0</v>
      </c>
      <c r="W29" s="120">
        <f>'Capacity charges'!W266</f>
        <v>0</v>
      </c>
      <c r="X29" s="120">
        <f>'Capacity charges'!X266</f>
        <v>0</v>
      </c>
      <c r="Y29" s="120">
        <f>'Capacity charges'!Y266</f>
        <v>0</v>
      </c>
      <c r="Z29" s="120">
        <f>'Capacity charges'!Z266</f>
        <v>0</v>
      </c>
      <c r="AA29" s="120">
        <f>'Capacity charges'!AA266</f>
        <v>0</v>
      </c>
      <c r="AB29" s="120">
        <f>'Capacity charges'!AB266</f>
        <v>0</v>
      </c>
    </row>
    <row r="30" spans="3:30" x14ac:dyDescent="0.25">
      <c r="C30" s="88"/>
      <c r="E30" s="29"/>
      <c r="F30" t="s">
        <v>194</v>
      </c>
      <c r="G30" t="s">
        <v>270</v>
      </c>
      <c r="J30" s="120">
        <f>'Capacity charges'!J267</f>
        <v>0</v>
      </c>
      <c r="K30" s="120">
        <f>'Capacity charges'!K267</f>
        <v>0</v>
      </c>
      <c r="L30" s="120">
        <f>'Capacity charges'!L267</f>
        <v>0</v>
      </c>
      <c r="M30" s="120">
        <f>'Capacity charges'!M267</f>
        <v>0</v>
      </c>
      <c r="N30" s="120">
        <f>'Capacity charges'!N267</f>
        <v>0</v>
      </c>
      <c r="O30" s="120">
        <f>'Capacity charges'!O267</f>
        <v>0</v>
      </c>
      <c r="P30" s="120">
        <f>'Capacity charges'!P267</f>
        <v>0</v>
      </c>
      <c r="Q30" s="120">
        <f>'Capacity charges'!Q267</f>
        <v>0</v>
      </c>
      <c r="R30" s="120">
        <f>'Capacity charges'!R267</f>
        <v>0</v>
      </c>
      <c r="S30" s="120">
        <f>'Capacity charges'!S267</f>
        <v>0</v>
      </c>
      <c r="T30" s="120">
        <f>'Capacity charges'!T267</f>
        <v>0</v>
      </c>
      <c r="U30" s="120">
        <f>'Capacity charges'!U267</f>
        <v>0</v>
      </c>
      <c r="V30" s="120">
        <f>'Capacity charges'!V267</f>
        <v>0</v>
      </c>
      <c r="W30" s="120">
        <f>'Capacity charges'!W267</f>
        <v>0</v>
      </c>
      <c r="X30" s="120">
        <f>'Capacity charges'!X267</f>
        <v>0</v>
      </c>
      <c r="Y30" s="120">
        <f>'Capacity charges'!Y267</f>
        <v>0</v>
      </c>
      <c r="Z30" s="120">
        <f>'Capacity charges'!Z267</f>
        <v>0</v>
      </c>
      <c r="AA30" s="120">
        <f>'Capacity charges'!AA267</f>
        <v>0</v>
      </c>
      <c r="AB30" s="120">
        <f>'Capacity charges'!AB267</f>
        <v>0</v>
      </c>
    </row>
    <row r="31" spans="3:30" x14ac:dyDescent="0.25">
      <c r="C31" s="88"/>
      <c r="E31" s="29"/>
      <c r="F31" t="s">
        <v>195</v>
      </c>
      <c r="G31" t="s">
        <v>270</v>
      </c>
      <c r="J31" s="120">
        <f>'Capacity charges'!J268</f>
        <v>0</v>
      </c>
      <c r="K31" s="120">
        <f>'Capacity charges'!K268</f>
        <v>0</v>
      </c>
      <c r="L31" s="120">
        <f>'Capacity charges'!L268</f>
        <v>0</v>
      </c>
      <c r="M31" s="120">
        <f>'Capacity charges'!M268</f>
        <v>0</v>
      </c>
      <c r="N31" s="120">
        <f>'Capacity charges'!N268</f>
        <v>0</v>
      </c>
      <c r="O31" s="120">
        <f>'Capacity charges'!O268</f>
        <v>0</v>
      </c>
      <c r="P31" s="120">
        <f>'Capacity charges'!P268</f>
        <v>0</v>
      </c>
      <c r="Q31" s="120">
        <f>'Capacity charges'!Q268</f>
        <v>0</v>
      </c>
      <c r="R31" s="120">
        <f>'Capacity charges'!R268</f>
        <v>0</v>
      </c>
      <c r="S31" s="120">
        <f>'Capacity charges'!S268</f>
        <v>0</v>
      </c>
      <c r="T31" s="120">
        <f>'Capacity charges'!T268</f>
        <v>0</v>
      </c>
      <c r="U31" s="120">
        <f>'Capacity charges'!U268</f>
        <v>0</v>
      </c>
      <c r="V31" s="120">
        <f>'Capacity charges'!V268</f>
        <v>0</v>
      </c>
      <c r="W31" s="120">
        <f>'Capacity charges'!W268</f>
        <v>0</v>
      </c>
      <c r="X31" s="120">
        <f>'Capacity charges'!X268</f>
        <v>0</v>
      </c>
      <c r="Y31" s="120">
        <f>'Capacity charges'!Y268</f>
        <v>0</v>
      </c>
      <c r="Z31" s="120">
        <f>'Capacity charges'!Z268</f>
        <v>0</v>
      </c>
      <c r="AA31" s="120">
        <f>'Capacity charges'!AA268</f>
        <v>0</v>
      </c>
      <c r="AB31" s="120">
        <f>'Capacity charges'!AB268</f>
        <v>0</v>
      </c>
    </row>
    <row r="32" spans="3:30" x14ac:dyDescent="0.25">
      <c r="C32" s="88"/>
      <c r="E32" s="29"/>
      <c r="F32" t="s">
        <v>196</v>
      </c>
      <c r="G32" t="s">
        <v>270</v>
      </c>
      <c r="J32" s="120">
        <f>'Capacity charges'!J269</f>
        <v>0</v>
      </c>
      <c r="K32" s="120">
        <f>'Capacity charges'!K269</f>
        <v>0</v>
      </c>
      <c r="L32" s="120">
        <f>'Capacity charges'!L269</f>
        <v>0</v>
      </c>
      <c r="M32" s="120">
        <f>'Capacity charges'!M269</f>
        <v>0</v>
      </c>
      <c r="N32" s="120">
        <f>'Capacity charges'!N269</f>
        <v>0</v>
      </c>
      <c r="O32" s="120">
        <f>'Capacity charges'!O269</f>
        <v>0</v>
      </c>
      <c r="P32" s="120">
        <f>'Capacity charges'!P269</f>
        <v>0</v>
      </c>
      <c r="Q32" s="120">
        <f>'Capacity charges'!Q269</f>
        <v>0</v>
      </c>
      <c r="R32" s="120">
        <f>'Capacity charges'!R269</f>
        <v>0</v>
      </c>
      <c r="S32" s="120">
        <f>'Capacity charges'!S269</f>
        <v>0</v>
      </c>
      <c r="T32" s="120">
        <f>'Capacity charges'!T269</f>
        <v>0</v>
      </c>
      <c r="U32" s="120">
        <f>'Capacity charges'!U269</f>
        <v>0</v>
      </c>
      <c r="V32" s="120">
        <f>'Capacity charges'!V269</f>
        <v>0</v>
      </c>
      <c r="W32" s="120">
        <f>'Capacity charges'!W269</f>
        <v>0</v>
      </c>
      <c r="X32" s="120">
        <f>'Capacity charges'!X269</f>
        <v>0</v>
      </c>
      <c r="Y32" s="120">
        <f>'Capacity charges'!Y269</f>
        <v>0</v>
      </c>
      <c r="Z32" s="120">
        <f>'Capacity charges'!Z269</f>
        <v>0</v>
      </c>
      <c r="AA32" s="120">
        <f>'Capacity charges'!AA269</f>
        <v>0</v>
      </c>
      <c r="AB32" s="120">
        <f>'Capacity charges'!AB269</f>
        <v>0</v>
      </c>
    </row>
    <row r="33" spans="3:28" x14ac:dyDescent="0.25">
      <c r="C33" s="88"/>
      <c r="E33" s="29"/>
      <c r="F33" t="s">
        <v>197</v>
      </c>
      <c r="G33" t="s">
        <v>270</v>
      </c>
      <c r="J33" s="120">
        <f>'Capacity charges'!J270</f>
        <v>0</v>
      </c>
      <c r="K33" s="120">
        <f>'Capacity charges'!K270</f>
        <v>0</v>
      </c>
      <c r="L33" s="120">
        <f>'Capacity charges'!L270</f>
        <v>0</v>
      </c>
      <c r="M33" s="120">
        <f>'Capacity charges'!M270</f>
        <v>0</v>
      </c>
      <c r="N33" s="120">
        <f>'Capacity charges'!N270</f>
        <v>0</v>
      </c>
      <c r="O33" s="120">
        <f>'Capacity charges'!O270</f>
        <v>0</v>
      </c>
      <c r="P33" s="120">
        <f>'Capacity charges'!P270</f>
        <v>0</v>
      </c>
      <c r="Q33" s="120">
        <f>'Capacity charges'!Q270</f>
        <v>0</v>
      </c>
      <c r="R33" s="120">
        <f>'Capacity charges'!R270</f>
        <v>0</v>
      </c>
      <c r="S33" s="120">
        <f>'Capacity charges'!S270</f>
        <v>0</v>
      </c>
      <c r="T33" s="120">
        <f>'Capacity charges'!T270</f>
        <v>0</v>
      </c>
      <c r="U33" s="120">
        <f>'Capacity charges'!U270</f>
        <v>0</v>
      </c>
      <c r="V33" s="120">
        <f>'Capacity charges'!V270</f>
        <v>0</v>
      </c>
      <c r="W33" s="120">
        <f>'Capacity charges'!W270</f>
        <v>0</v>
      </c>
      <c r="X33" s="120">
        <f>'Capacity charges'!X270</f>
        <v>0</v>
      </c>
      <c r="Y33" s="120">
        <f>'Capacity charges'!Y270</f>
        <v>0</v>
      </c>
      <c r="Z33" s="120">
        <f>'Capacity charges'!Z270</f>
        <v>0</v>
      </c>
      <c r="AA33" s="120">
        <f>'Capacity charges'!AA270</f>
        <v>0</v>
      </c>
      <c r="AB33" s="120">
        <f>'Capacity charges'!AB270</f>
        <v>0</v>
      </c>
    </row>
    <row r="34" spans="3:28" x14ac:dyDescent="0.25">
      <c r="C34" s="88"/>
      <c r="E34" s="29"/>
      <c r="F34" t="s">
        <v>198</v>
      </c>
      <c r="G34" t="s">
        <v>270</v>
      </c>
      <c r="J34" s="120">
        <f>'Capacity charges'!J271</f>
        <v>7.640178367250032E-2</v>
      </c>
      <c r="K34" s="120">
        <f>'Capacity charges'!K271</f>
        <v>0</v>
      </c>
      <c r="L34" s="120">
        <f>'Capacity charges'!L271</f>
        <v>7.640178367250032E-2</v>
      </c>
      <c r="M34" s="120">
        <f>'Capacity charges'!M271</f>
        <v>0</v>
      </c>
      <c r="N34" s="120">
        <f>'Capacity charges'!N271</f>
        <v>0</v>
      </c>
      <c r="O34" s="120">
        <f>'Capacity charges'!O271</f>
        <v>0</v>
      </c>
      <c r="P34" s="120">
        <f>'Capacity charges'!P271</f>
        <v>0</v>
      </c>
      <c r="Q34" s="120">
        <f>'Capacity charges'!Q271</f>
        <v>0</v>
      </c>
      <c r="R34" s="120">
        <f>'Capacity charges'!R271</f>
        <v>0</v>
      </c>
      <c r="S34" s="120">
        <f>'Capacity charges'!S271</f>
        <v>0</v>
      </c>
      <c r="T34" s="120">
        <f>'Capacity charges'!T271</f>
        <v>0</v>
      </c>
      <c r="U34" s="120">
        <f>'Capacity charges'!U271</f>
        <v>0</v>
      </c>
      <c r="V34" s="120">
        <f>'Capacity charges'!V271</f>
        <v>0</v>
      </c>
      <c r="W34" s="120">
        <f>'Capacity charges'!W271</f>
        <v>0</v>
      </c>
      <c r="X34" s="120">
        <f>'Capacity charges'!X271</f>
        <v>0</v>
      </c>
      <c r="Y34" s="120">
        <f>'Capacity charges'!Y271</f>
        <v>0</v>
      </c>
      <c r="Z34" s="120">
        <f>'Capacity charges'!Z271</f>
        <v>0</v>
      </c>
      <c r="AA34" s="120">
        <f>'Capacity charges'!AA271</f>
        <v>0</v>
      </c>
      <c r="AB34" s="120">
        <f>'Capacity charges'!AB271</f>
        <v>0</v>
      </c>
    </row>
    <row r="35" spans="3:28" x14ac:dyDescent="0.25">
      <c r="C35" s="88"/>
      <c r="E35" s="29"/>
      <c r="F35" t="s">
        <v>375</v>
      </c>
      <c r="G35" t="s">
        <v>270</v>
      </c>
      <c r="J35" s="79"/>
      <c r="K35" s="79"/>
      <c r="L35" s="79"/>
      <c r="M35" s="79"/>
      <c r="N35" s="79"/>
      <c r="O35" s="79"/>
      <c r="P35" s="79"/>
      <c r="Q35" s="79"/>
      <c r="R35" s="79"/>
      <c r="S35" s="79"/>
      <c r="T35" s="79"/>
      <c r="U35" s="79"/>
      <c r="V35" s="79"/>
      <c r="W35" s="79"/>
      <c r="X35" s="79"/>
      <c r="Y35" s="79"/>
      <c r="Z35" s="79"/>
      <c r="AA35" s="79"/>
      <c r="AB35" s="79"/>
    </row>
    <row r="36" spans="3:28" x14ac:dyDescent="0.25">
      <c r="C36" s="88"/>
      <c r="E36" s="29"/>
      <c r="F36" s="37" t="s">
        <v>376</v>
      </c>
      <c r="G36" s="37" t="s">
        <v>270</v>
      </c>
      <c r="H36" s="37"/>
      <c r="I36" s="37"/>
      <c r="J36" s="81"/>
      <c r="K36" s="81"/>
      <c r="L36" s="81"/>
      <c r="M36" s="81"/>
      <c r="N36" s="81"/>
      <c r="O36" s="81"/>
      <c r="P36" s="81"/>
      <c r="Q36" s="81"/>
      <c r="R36" s="81"/>
      <c r="S36" s="81"/>
      <c r="T36" s="81"/>
      <c r="U36" s="81"/>
      <c r="V36" s="81"/>
      <c r="W36" s="81"/>
      <c r="X36" s="81"/>
      <c r="Y36" s="81"/>
      <c r="Z36" s="81"/>
      <c r="AA36" s="81"/>
      <c r="AB36" s="81"/>
    </row>
    <row r="37" spans="3:28" x14ac:dyDescent="0.25">
      <c r="C37" s="88"/>
      <c r="D37"/>
      <c r="E37" s="29"/>
      <c r="J37" s="89"/>
      <c r="K37" s="89"/>
      <c r="L37" s="89"/>
      <c r="M37" s="89"/>
      <c r="N37" s="89"/>
      <c r="O37" s="89"/>
      <c r="P37" s="89"/>
      <c r="Q37" s="89"/>
      <c r="R37" s="89"/>
      <c r="S37" s="89"/>
      <c r="T37" s="89"/>
      <c r="U37" s="89"/>
      <c r="V37" s="89"/>
      <c r="W37" s="89"/>
      <c r="X37" s="89"/>
      <c r="Y37" s="89"/>
      <c r="Z37" s="89"/>
      <c r="AA37" s="89"/>
      <c r="AB37" s="89"/>
    </row>
    <row r="38" spans="3:28" x14ac:dyDescent="0.25">
      <c r="C38" s="88"/>
      <c r="E38" s="32" t="s">
        <v>621</v>
      </c>
      <c r="J38" s="89"/>
      <c r="K38" s="89"/>
      <c r="L38" s="89"/>
      <c r="M38" s="89"/>
      <c r="N38" s="89"/>
      <c r="O38" s="89"/>
      <c r="P38" s="89"/>
      <c r="Q38" s="89"/>
      <c r="R38" s="89"/>
      <c r="S38" s="89"/>
      <c r="T38" s="89"/>
      <c r="U38" s="89"/>
      <c r="V38" s="89"/>
      <c r="W38" s="89"/>
      <c r="X38" s="89"/>
      <c r="Y38" s="89"/>
      <c r="Z38" s="89"/>
      <c r="AA38" s="89"/>
      <c r="AB38" s="89"/>
    </row>
    <row r="39" spans="3:28" x14ac:dyDescent="0.25">
      <c r="C39" s="88"/>
      <c r="F39" s="23" t="s">
        <v>188</v>
      </c>
      <c r="G39" s="23" t="s">
        <v>270</v>
      </c>
      <c r="H39" s="23"/>
      <c r="I39" s="23"/>
      <c r="J39" s="124">
        <f>'Capacity charges'!J276</f>
        <v>0</v>
      </c>
      <c r="K39" s="124">
        <f>'Capacity charges'!K276</f>
        <v>0</v>
      </c>
      <c r="L39" s="124">
        <f>'Capacity charges'!L276</f>
        <v>0</v>
      </c>
      <c r="M39" s="124">
        <f>'Capacity charges'!M276</f>
        <v>0</v>
      </c>
      <c r="N39" s="124">
        <f>'Capacity charges'!N276</f>
        <v>0</v>
      </c>
      <c r="O39" s="124">
        <f>'Capacity charges'!O276</f>
        <v>0</v>
      </c>
      <c r="P39" s="124">
        <f>'Capacity charges'!P276</f>
        <v>0</v>
      </c>
      <c r="Q39" s="124">
        <f>'Capacity charges'!Q276</f>
        <v>0</v>
      </c>
      <c r="R39" s="124">
        <f>'Capacity charges'!R276</f>
        <v>0</v>
      </c>
      <c r="S39" s="124">
        <f>'Capacity charges'!S276</f>
        <v>0</v>
      </c>
      <c r="T39" s="124">
        <f>'Capacity charges'!T276</f>
        <v>0</v>
      </c>
      <c r="U39" s="124">
        <f>'Capacity charges'!U276</f>
        <v>0</v>
      </c>
      <c r="V39" s="124">
        <f>'Capacity charges'!V276</f>
        <v>0</v>
      </c>
      <c r="W39" s="124">
        <f>'Capacity charges'!W276</f>
        <v>0</v>
      </c>
      <c r="X39" s="124">
        <f>'Capacity charges'!X276</f>
        <v>0</v>
      </c>
      <c r="Y39" s="124">
        <f>'Capacity charges'!Y276</f>
        <v>0</v>
      </c>
      <c r="Z39" s="124">
        <f>'Capacity charges'!Z276</f>
        <v>0</v>
      </c>
      <c r="AA39" s="124">
        <f>'Capacity charges'!AA276</f>
        <v>0</v>
      </c>
      <c r="AB39" s="124">
        <f>'Capacity charges'!AB276</f>
        <v>0</v>
      </c>
    </row>
    <row r="40" spans="3:28" x14ac:dyDescent="0.25">
      <c r="C40" s="88"/>
      <c r="F40" t="s">
        <v>190</v>
      </c>
      <c r="G40" t="s">
        <v>270</v>
      </c>
      <c r="J40" s="120">
        <f>'Capacity charges'!J277</f>
        <v>0</v>
      </c>
      <c r="K40" s="120">
        <f>'Capacity charges'!K277</f>
        <v>0</v>
      </c>
      <c r="L40" s="120">
        <f>'Capacity charges'!L277</f>
        <v>0</v>
      </c>
      <c r="M40" s="120">
        <f>'Capacity charges'!M277</f>
        <v>0</v>
      </c>
      <c r="N40" s="120">
        <f>'Capacity charges'!N277</f>
        <v>0</v>
      </c>
      <c r="O40" s="120">
        <f>'Capacity charges'!O277</f>
        <v>0</v>
      </c>
      <c r="P40" s="120">
        <f>'Capacity charges'!P277</f>
        <v>0</v>
      </c>
      <c r="Q40" s="120">
        <f>'Capacity charges'!Q277</f>
        <v>0</v>
      </c>
      <c r="R40" s="120">
        <f>'Capacity charges'!R277</f>
        <v>0</v>
      </c>
      <c r="S40" s="120">
        <f>'Capacity charges'!S277</f>
        <v>0</v>
      </c>
      <c r="T40" s="120">
        <f>'Capacity charges'!T277</f>
        <v>0</v>
      </c>
      <c r="U40" s="120">
        <f>'Capacity charges'!U277</f>
        <v>0</v>
      </c>
      <c r="V40" s="120">
        <f>'Capacity charges'!V277</f>
        <v>0</v>
      </c>
      <c r="W40" s="120">
        <f>'Capacity charges'!W277</f>
        <v>0</v>
      </c>
      <c r="X40" s="120">
        <f>'Capacity charges'!X277</f>
        <v>0</v>
      </c>
      <c r="Y40" s="120">
        <f>'Capacity charges'!Y277</f>
        <v>0</v>
      </c>
      <c r="Z40" s="120">
        <f>'Capacity charges'!Z277</f>
        <v>0</v>
      </c>
      <c r="AA40" s="120">
        <f>'Capacity charges'!AA277</f>
        <v>0</v>
      </c>
      <c r="AB40" s="120">
        <f>'Capacity charges'!AB277</f>
        <v>0</v>
      </c>
    </row>
    <row r="41" spans="3:28" x14ac:dyDescent="0.25">
      <c r="C41" s="88"/>
      <c r="F41" t="s">
        <v>191</v>
      </c>
      <c r="G41" t="s">
        <v>270</v>
      </c>
      <c r="J41" s="120">
        <f>'Capacity charges'!J278</f>
        <v>0</v>
      </c>
      <c r="K41" s="120">
        <f>'Capacity charges'!K278</f>
        <v>0</v>
      </c>
      <c r="L41" s="120">
        <f>'Capacity charges'!L278</f>
        <v>0</v>
      </c>
      <c r="M41" s="120">
        <f>'Capacity charges'!M278</f>
        <v>0</v>
      </c>
      <c r="N41" s="120">
        <f>'Capacity charges'!N278</f>
        <v>0</v>
      </c>
      <c r="O41" s="120">
        <f>'Capacity charges'!O278</f>
        <v>0</v>
      </c>
      <c r="P41" s="120">
        <f>'Capacity charges'!P278</f>
        <v>0</v>
      </c>
      <c r="Q41" s="120">
        <f>'Capacity charges'!Q278</f>
        <v>0</v>
      </c>
      <c r="R41" s="120">
        <f>'Capacity charges'!R278</f>
        <v>0</v>
      </c>
      <c r="S41" s="120">
        <f>'Capacity charges'!S278</f>
        <v>0</v>
      </c>
      <c r="T41" s="120">
        <f>'Capacity charges'!T278</f>
        <v>0</v>
      </c>
      <c r="U41" s="120">
        <f>'Capacity charges'!U278</f>
        <v>0</v>
      </c>
      <c r="V41" s="120">
        <f>'Capacity charges'!V278</f>
        <v>0</v>
      </c>
      <c r="W41" s="120">
        <f>'Capacity charges'!W278</f>
        <v>0</v>
      </c>
      <c r="X41" s="120">
        <f>'Capacity charges'!X278</f>
        <v>0</v>
      </c>
      <c r="Y41" s="120">
        <f>'Capacity charges'!Y278</f>
        <v>0</v>
      </c>
      <c r="Z41" s="120">
        <f>'Capacity charges'!Z278</f>
        <v>0</v>
      </c>
      <c r="AA41" s="120">
        <f>'Capacity charges'!AA278</f>
        <v>0</v>
      </c>
      <c r="AB41" s="120">
        <f>'Capacity charges'!AB278</f>
        <v>0</v>
      </c>
    </row>
    <row r="42" spans="3:28" x14ac:dyDescent="0.25">
      <c r="C42" s="88"/>
      <c r="F42" t="s">
        <v>192</v>
      </c>
      <c r="G42" t="s">
        <v>270</v>
      </c>
      <c r="J42" s="120">
        <f>'Capacity charges'!J279</f>
        <v>0</v>
      </c>
      <c r="K42" s="120">
        <f>'Capacity charges'!K279</f>
        <v>0</v>
      </c>
      <c r="L42" s="120">
        <f>'Capacity charges'!L279</f>
        <v>0</v>
      </c>
      <c r="M42" s="120">
        <f>'Capacity charges'!M279</f>
        <v>0</v>
      </c>
      <c r="N42" s="120">
        <f>'Capacity charges'!N279</f>
        <v>0</v>
      </c>
      <c r="O42" s="120">
        <f>'Capacity charges'!O279</f>
        <v>0</v>
      </c>
      <c r="P42" s="120">
        <f>'Capacity charges'!P279</f>
        <v>0</v>
      </c>
      <c r="Q42" s="120">
        <f>'Capacity charges'!Q279</f>
        <v>0</v>
      </c>
      <c r="R42" s="120">
        <f>'Capacity charges'!R279</f>
        <v>0</v>
      </c>
      <c r="S42" s="120">
        <f>'Capacity charges'!S279</f>
        <v>0</v>
      </c>
      <c r="T42" s="120">
        <f>'Capacity charges'!T279</f>
        <v>0</v>
      </c>
      <c r="U42" s="120">
        <f>'Capacity charges'!U279</f>
        <v>0</v>
      </c>
      <c r="V42" s="120">
        <f>'Capacity charges'!V279</f>
        <v>0</v>
      </c>
      <c r="W42" s="120">
        <f>'Capacity charges'!W279</f>
        <v>0</v>
      </c>
      <c r="X42" s="120">
        <f>'Capacity charges'!X279</f>
        <v>0</v>
      </c>
      <c r="Y42" s="120">
        <f>'Capacity charges'!Y279</f>
        <v>0</v>
      </c>
      <c r="Z42" s="120">
        <f>'Capacity charges'!Z279</f>
        <v>0</v>
      </c>
      <c r="AA42" s="120">
        <f>'Capacity charges'!AA279</f>
        <v>0</v>
      </c>
      <c r="AB42" s="120">
        <f>'Capacity charges'!AB279</f>
        <v>0</v>
      </c>
    </row>
    <row r="43" spans="3:28" x14ac:dyDescent="0.25">
      <c r="C43" s="88"/>
      <c r="F43" t="s">
        <v>193</v>
      </c>
      <c r="G43" t="s">
        <v>270</v>
      </c>
      <c r="J43" s="120">
        <f>'Capacity charges'!J280</f>
        <v>0</v>
      </c>
      <c r="K43" s="120">
        <f>'Capacity charges'!K280</f>
        <v>0</v>
      </c>
      <c r="L43" s="120">
        <f>'Capacity charges'!L280</f>
        <v>0</v>
      </c>
      <c r="M43" s="120">
        <f>'Capacity charges'!M280</f>
        <v>0</v>
      </c>
      <c r="N43" s="120">
        <f>'Capacity charges'!N280</f>
        <v>0</v>
      </c>
      <c r="O43" s="120">
        <f>'Capacity charges'!O280</f>
        <v>0</v>
      </c>
      <c r="P43" s="120">
        <f>'Capacity charges'!P280</f>
        <v>0</v>
      </c>
      <c r="Q43" s="120">
        <f>'Capacity charges'!Q280</f>
        <v>0</v>
      </c>
      <c r="R43" s="120">
        <f>'Capacity charges'!R280</f>
        <v>0</v>
      </c>
      <c r="S43" s="120">
        <f>'Capacity charges'!S280</f>
        <v>0</v>
      </c>
      <c r="T43" s="120">
        <f>'Capacity charges'!T280</f>
        <v>0</v>
      </c>
      <c r="U43" s="120">
        <f>'Capacity charges'!U280</f>
        <v>0</v>
      </c>
      <c r="V43" s="120">
        <f>'Capacity charges'!V280</f>
        <v>0</v>
      </c>
      <c r="W43" s="120">
        <f>'Capacity charges'!W280</f>
        <v>0</v>
      </c>
      <c r="X43" s="120">
        <f>'Capacity charges'!X280</f>
        <v>0</v>
      </c>
      <c r="Y43" s="120">
        <f>'Capacity charges'!Y280</f>
        <v>0</v>
      </c>
      <c r="Z43" s="120">
        <f>'Capacity charges'!Z280</f>
        <v>0</v>
      </c>
      <c r="AA43" s="120">
        <f>'Capacity charges'!AA280</f>
        <v>0</v>
      </c>
      <c r="AB43" s="120">
        <f>'Capacity charges'!AB280</f>
        <v>0</v>
      </c>
    </row>
    <row r="44" spans="3:28" x14ac:dyDescent="0.25">
      <c r="C44" s="88"/>
      <c r="F44" t="s">
        <v>194</v>
      </c>
      <c r="G44" t="s">
        <v>270</v>
      </c>
      <c r="J44" s="120">
        <f>'Capacity charges'!J281</f>
        <v>0</v>
      </c>
      <c r="K44" s="120">
        <f>'Capacity charges'!K281</f>
        <v>0</v>
      </c>
      <c r="L44" s="120">
        <f>'Capacity charges'!L281</f>
        <v>0</v>
      </c>
      <c r="M44" s="120">
        <f>'Capacity charges'!M281</f>
        <v>0</v>
      </c>
      <c r="N44" s="120">
        <f>'Capacity charges'!N281</f>
        <v>0</v>
      </c>
      <c r="O44" s="120">
        <f>'Capacity charges'!O281</f>
        <v>0</v>
      </c>
      <c r="P44" s="120">
        <f>'Capacity charges'!P281</f>
        <v>0</v>
      </c>
      <c r="Q44" s="120">
        <f>'Capacity charges'!Q281</f>
        <v>0</v>
      </c>
      <c r="R44" s="120">
        <f>'Capacity charges'!R281</f>
        <v>0</v>
      </c>
      <c r="S44" s="120">
        <f>'Capacity charges'!S281</f>
        <v>0</v>
      </c>
      <c r="T44" s="120">
        <f>'Capacity charges'!T281</f>
        <v>0</v>
      </c>
      <c r="U44" s="120">
        <f>'Capacity charges'!U281</f>
        <v>0</v>
      </c>
      <c r="V44" s="120">
        <f>'Capacity charges'!V281</f>
        <v>0</v>
      </c>
      <c r="W44" s="120">
        <f>'Capacity charges'!W281</f>
        <v>0</v>
      </c>
      <c r="X44" s="120">
        <f>'Capacity charges'!X281</f>
        <v>0</v>
      </c>
      <c r="Y44" s="120">
        <f>'Capacity charges'!Y281</f>
        <v>0</v>
      </c>
      <c r="Z44" s="120">
        <f>'Capacity charges'!Z281</f>
        <v>0</v>
      </c>
      <c r="AA44" s="120">
        <f>'Capacity charges'!AA281</f>
        <v>0</v>
      </c>
      <c r="AB44" s="120">
        <f>'Capacity charges'!AB281</f>
        <v>0</v>
      </c>
    </row>
    <row r="45" spans="3:28" x14ac:dyDescent="0.25">
      <c r="C45" s="88"/>
      <c r="F45" t="s">
        <v>195</v>
      </c>
      <c r="G45" t="s">
        <v>270</v>
      </c>
      <c r="J45" s="120">
        <f>'Capacity charges'!J282</f>
        <v>0</v>
      </c>
      <c r="K45" s="120">
        <f>'Capacity charges'!K282</f>
        <v>0</v>
      </c>
      <c r="L45" s="120">
        <f>'Capacity charges'!L282</f>
        <v>0</v>
      </c>
      <c r="M45" s="120">
        <f>'Capacity charges'!M282</f>
        <v>0</v>
      </c>
      <c r="N45" s="120">
        <f>'Capacity charges'!N282</f>
        <v>0</v>
      </c>
      <c r="O45" s="120">
        <f>'Capacity charges'!O282</f>
        <v>0</v>
      </c>
      <c r="P45" s="120">
        <f>'Capacity charges'!P282</f>
        <v>0</v>
      </c>
      <c r="Q45" s="120">
        <f>'Capacity charges'!Q282</f>
        <v>0</v>
      </c>
      <c r="R45" s="120">
        <f>'Capacity charges'!R282</f>
        <v>0</v>
      </c>
      <c r="S45" s="120">
        <f>'Capacity charges'!S282</f>
        <v>0</v>
      </c>
      <c r="T45" s="120">
        <f>'Capacity charges'!T282</f>
        <v>0</v>
      </c>
      <c r="U45" s="120">
        <f>'Capacity charges'!U282</f>
        <v>0</v>
      </c>
      <c r="V45" s="120">
        <f>'Capacity charges'!V282</f>
        <v>0</v>
      </c>
      <c r="W45" s="120">
        <f>'Capacity charges'!W282</f>
        <v>0</v>
      </c>
      <c r="X45" s="120">
        <f>'Capacity charges'!X282</f>
        <v>0</v>
      </c>
      <c r="Y45" s="120">
        <f>'Capacity charges'!Y282</f>
        <v>0</v>
      </c>
      <c r="Z45" s="120">
        <f>'Capacity charges'!Z282</f>
        <v>0</v>
      </c>
      <c r="AA45" s="120">
        <f>'Capacity charges'!AA282</f>
        <v>0</v>
      </c>
      <c r="AB45" s="120">
        <f>'Capacity charges'!AB282</f>
        <v>0</v>
      </c>
    </row>
    <row r="46" spans="3:28" x14ac:dyDescent="0.25">
      <c r="C46" s="88"/>
      <c r="F46" t="s">
        <v>196</v>
      </c>
      <c r="G46" t="s">
        <v>270</v>
      </c>
      <c r="J46" s="120">
        <f>'Capacity charges'!J283</f>
        <v>0</v>
      </c>
      <c r="K46" s="120">
        <f>'Capacity charges'!K283</f>
        <v>0</v>
      </c>
      <c r="L46" s="120">
        <f>'Capacity charges'!L283</f>
        <v>0</v>
      </c>
      <c r="M46" s="120">
        <f>'Capacity charges'!M283</f>
        <v>0</v>
      </c>
      <c r="N46" s="120">
        <f>'Capacity charges'!N283</f>
        <v>0</v>
      </c>
      <c r="O46" s="120">
        <f>'Capacity charges'!O283</f>
        <v>0</v>
      </c>
      <c r="P46" s="120">
        <f>'Capacity charges'!P283</f>
        <v>0</v>
      </c>
      <c r="Q46" s="120">
        <f>'Capacity charges'!Q283</f>
        <v>0</v>
      </c>
      <c r="R46" s="120">
        <f>'Capacity charges'!R283</f>
        <v>0</v>
      </c>
      <c r="S46" s="120">
        <f>'Capacity charges'!S283</f>
        <v>0</v>
      </c>
      <c r="T46" s="120">
        <f>'Capacity charges'!T283</f>
        <v>0</v>
      </c>
      <c r="U46" s="120">
        <f>'Capacity charges'!U283</f>
        <v>0</v>
      </c>
      <c r="V46" s="120">
        <f>'Capacity charges'!V283</f>
        <v>0</v>
      </c>
      <c r="W46" s="120">
        <f>'Capacity charges'!W283</f>
        <v>0</v>
      </c>
      <c r="X46" s="120">
        <f>'Capacity charges'!X283</f>
        <v>0</v>
      </c>
      <c r="Y46" s="120">
        <f>'Capacity charges'!Y283</f>
        <v>0</v>
      </c>
      <c r="Z46" s="120">
        <f>'Capacity charges'!Z283</f>
        <v>0</v>
      </c>
      <c r="AA46" s="120">
        <f>'Capacity charges'!AA283</f>
        <v>0</v>
      </c>
      <c r="AB46" s="120">
        <f>'Capacity charges'!AB283</f>
        <v>0</v>
      </c>
    </row>
    <row r="47" spans="3:28" x14ac:dyDescent="0.25">
      <c r="C47" s="88"/>
      <c r="F47" t="s">
        <v>197</v>
      </c>
      <c r="G47" t="s">
        <v>270</v>
      </c>
      <c r="J47" s="120">
        <f>'Capacity charges'!J284</f>
        <v>0</v>
      </c>
      <c r="K47" s="120">
        <f>'Capacity charges'!K284</f>
        <v>0</v>
      </c>
      <c r="L47" s="120">
        <f>'Capacity charges'!L284</f>
        <v>0</v>
      </c>
      <c r="M47" s="120">
        <f>'Capacity charges'!M284</f>
        <v>0</v>
      </c>
      <c r="N47" s="120">
        <f>'Capacity charges'!N284</f>
        <v>0</v>
      </c>
      <c r="O47" s="120">
        <f>'Capacity charges'!O284</f>
        <v>0</v>
      </c>
      <c r="P47" s="120">
        <f>'Capacity charges'!P284</f>
        <v>0</v>
      </c>
      <c r="Q47" s="120">
        <f>'Capacity charges'!Q284</f>
        <v>0</v>
      </c>
      <c r="R47" s="120">
        <f>'Capacity charges'!R284</f>
        <v>0</v>
      </c>
      <c r="S47" s="120">
        <f>'Capacity charges'!S284</f>
        <v>0</v>
      </c>
      <c r="T47" s="120">
        <f>'Capacity charges'!T284</f>
        <v>0</v>
      </c>
      <c r="U47" s="120">
        <f>'Capacity charges'!U284</f>
        <v>0</v>
      </c>
      <c r="V47" s="120">
        <f>'Capacity charges'!V284</f>
        <v>0</v>
      </c>
      <c r="W47" s="120">
        <f>'Capacity charges'!W284</f>
        <v>0</v>
      </c>
      <c r="X47" s="120">
        <f>'Capacity charges'!X284</f>
        <v>0</v>
      </c>
      <c r="Y47" s="120">
        <f>'Capacity charges'!Y284</f>
        <v>0</v>
      </c>
      <c r="Z47" s="120">
        <f>'Capacity charges'!Z284</f>
        <v>0</v>
      </c>
      <c r="AA47" s="120">
        <f>'Capacity charges'!AA284</f>
        <v>0</v>
      </c>
      <c r="AB47" s="120">
        <f>'Capacity charges'!AB284</f>
        <v>0</v>
      </c>
    </row>
    <row r="48" spans="3:28" x14ac:dyDescent="0.25">
      <c r="C48" s="88"/>
      <c r="F48" t="s">
        <v>198</v>
      </c>
      <c r="G48" t="s">
        <v>270</v>
      </c>
      <c r="J48" s="120">
        <f>'Capacity charges'!J285</f>
        <v>0.74020135576371915</v>
      </c>
      <c r="K48" s="120">
        <f>'Capacity charges'!K285</f>
        <v>0</v>
      </c>
      <c r="L48" s="120">
        <f>'Capacity charges'!L285</f>
        <v>0.74020135576371915</v>
      </c>
      <c r="M48" s="120">
        <f>'Capacity charges'!M285</f>
        <v>0</v>
      </c>
      <c r="N48" s="120">
        <f>'Capacity charges'!N285</f>
        <v>0</v>
      </c>
      <c r="O48" s="120">
        <f>'Capacity charges'!O285</f>
        <v>0</v>
      </c>
      <c r="P48" s="120">
        <f>'Capacity charges'!P285</f>
        <v>0</v>
      </c>
      <c r="Q48" s="120">
        <f>'Capacity charges'!Q285</f>
        <v>0</v>
      </c>
      <c r="R48" s="120">
        <f>'Capacity charges'!R285</f>
        <v>0</v>
      </c>
      <c r="S48" s="120">
        <f>'Capacity charges'!S285</f>
        <v>0</v>
      </c>
      <c r="T48" s="120">
        <f>'Capacity charges'!T285</f>
        <v>0</v>
      </c>
      <c r="U48" s="120">
        <f>'Capacity charges'!U285</f>
        <v>0</v>
      </c>
      <c r="V48" s="120">
        <f>'Capacity charges'!V285</f>
        <v>0</v>
      </c>
      <c r="W48" s="120">
        <f>'Capacity charges'!W285</f>
        <v>0</v>
      </c>
      <c r="X48" s="120">
        <f>'Capacity charges'!X285</f>
        <v>0</v>
      </c>
      <c r="Y48" s="120">
        <f>'Capacity charges'!Y285</f>
        <v>0</v>
      </c>
      <c r="Z48" s="120">
        <f>'Capacity charges'!Z285</f>
        <v>0</v>
      </c>
      <c r="AA48" s="120">
        <f>'Capacity charges'!AA285</f>
        <v>0</v>
      </c>
      <c r="AB48" s="120">
        <f>'Capacity charges'!AB285</f>
        <v>0</v>
      </c>
    </row>
    <row r="49" spans="3:30" x14ac:dyDescent="0.25">
      <c r="C49" s="88"/>
      <c r="F49" t="s">
        <v>375</v>
      </c>
      <c r="G49" t="s">
        <v>270</v>
      </c>
      <c r="J49" s="79"/>
      <c r="K49" s="79"/>
      <c r="L49" s="79"/>
      <c r="M49" s="79"/>
      <c r="N49" s="79"/>
      <c r="O49" s="79"/>
      <c r="P49" s="79"/>
      <c r="Q49" s="79"/>
      <c r="R49" s="79"/>
      <c r="S49" s="79"/>
      <c r="T49" s="79"/>
      <c r="U49" s="79"/>
      <c r="V49" s="79"/>
      <c r="W49" s="79"/>
      <c r="X49" s="79"/>
      <c r="Y49" s="79"/>
      <c r="Z49" s="79"/>
      <c r="AA49" s="79"/>
      <c r="AB49" s="79"/>
    </row>
    <row r="50" spans="3:30" x14ac:dyDescent="0.25">
      <c r="C50" s="88"/>
      <c r="F50" s="37" t="s">
        <v>376</v>
      </c>
      <c r="G50" s="37" t="s">
        <v>270</v>
      </c>
      <c r="H50" s="37"/>
      <c r="I50" s="37"/>
      <c r="J50" s="81"/>
      <c r="K50" s="81"/>
      <c r="L50" s="81"/>
      <c r="M50" s="81"/>
      <c r="N50" s="81"/>
      <c r="O50" s="81"/>
      <c r="P50" s="81"/>
      <c r="Q50" s="81"/>
      <c r="R50" s="81"/>
      <c r="S50" s="81"/>
      <c r="T50" s="81"/>
      <c r="U50" s="81"/>
      <c r="V50" s="81"/>
      <c r="W50" s="81"/>
      <c r="X50" s="81"/>
      <c r="Y50" s="81"/>
      <c r="Z50" s="81"/>
      <c r="AA50" s="81"/>
      <c r="AB50" s="81"/>
    </row>
    <row r="51" spans="3:30" x14ac:dyDescent="0.25">
      <c r="C51" s="88"/>
      <c r="J51" s="89"/>
      <c r="K51" s="89"/>
      <c r="L51" s="89"/>
      <c r="M51" s="89"/>
      <c r="N51" s="89"/>
      <c r="O51" s="89"/>
      <c r="P51" s="89"/>
      <c r="Q51" s="89"/>
      <c r="R51" s="89"/>
      <c r="S51" s="89"/>
      <c r="T51" s="89"/>
      <c r="U51" s="89"/>
      <c r="V51" s="89"/>
      <c r="W51" s="89"/>
      <c r="X51" s="89"/>
      <c r="Y51" s="89"/>
      <c r="Z51" s="89"/>
      <c r="AA51" s="89"/>
      <c r="AB51" s="89"/>
    </row>
    <row r="52" spans="3:30" x14ac:dyDescent="0.25">
      <c r="C52" s="31" t="str">
        <f ca="1">INDEX('Version control'!$H$34:$H$57,MATCH($A$1,'Version control'!$F$34:$F$57,0),1)&amp;"-C: Service model costs allocated to fixed charges"</f>
        <v>Section 114-C: Service model costs allocated to fixed charges</v>
      </c>
      <c r="D52" s="31"/>
      <c r="E52" s="31"/>
      <c r="F52" s="31"/>
      <c r="G52" s="31"/>
      <c r="H52" s="31"/>
      <c r="I52" s="31"/>
      <c r="J52" s="90"/>
      <c r="K52" s="90"/>
      <c r="L52" s="90"/>
      <c r="M52" s="90"/>
      <c r="N52" s="90"/>
      <c r="O52" s="90"/>
      <c r="P52" s="90"/>
      <c r="Q52" s="90"/>
      <c r="R52" s="90"/>
      <c r="S52" s="90"/>
      <c r="T52" s="90"/>
      <c r="U52" s="90"/>
      <c r="V52" s="90"/>
      <c r="W52" s="90"/>
      <c r="X52" s="90"/>
      <c r="Y52" s="90"/>
      <c r="Z52" s="90"/>
      <c r="AA52" s="90"/>
      <c r="AB52" s="90"/>
      <c r="AC52" s="31"/>
      <c r="AD52" s="31"/>
    </row>
    <row r="53" spans="3:30" x14ac:dyDescent="0.25">
      <c r="D53"/>
    </row>
    <row r="54" spans="3:30" x14ac:dyDescent="0.25">
      <c r="C54" s="32"/>
      <c r="D54"/>
      <c r="E54" s="32" t="s">
        <v>621</v>
      </c>
      <c r="I54" t="s">
        <v>153</v>
      </c>
      <c r="J54" s="89"/>
      <c r="K54" s="89"/>
      <c r="L54" s="89"/>
      <c r="M54" s="89"/>
      <c r="N54" s="89"/>
      <c r="O54" s="89"/>
      <c r="P54" s="89"/>
      <c r="Q54" s="89"/>
      <c r="R54" s="89"/>
      <c r="S54" s="89"/>
      <c r="T54" s="89"/>
      <c r="U54" s="89"/>
      <c r="V54" s="89"/>
      <c r="W54" s="89"/>
      <c r="X54" s="89"/>
      <c r="Y54" s="89"/>
      <c r="Z54" s="89"/>
      <c r="AA54" s="89"/>
      <c r="AB54" s="89"/>
      <c r="AD54" t="s">
        <v>721</v>
      </c>
    </row>
    <row r="55" spans="3:30" x14ac:dyDescent="0.25">
      <c r="C55" s="88"/>
      <c r="D55"/>
      <c r="F55" s="23" t="s">
        <v>375</v>
      </c>
      <c r="G55" s="23" t="s">
        <v>269</v>
      </c>
      <c r="H55" s="23"/>
      <c r="I55" s="23"/>
      <c r="J55" s="124">
        <f>'Service model charges'!J42</f>
        <v>3.6874179557529576</v>
      </c>
      <c r="K55" s="124">
        <f>'Service model charges'!K42</f>
        <v>0</v>
      </c>
      <c r="L55" s="124">
        <f>'Service model charges'!L42</f>
        <v>4.9668358088147135</v>
      </c>
      <c r="M55" s="124">
        <f>'Service model charges'!M42</f>
        <v>0</v>
      </c>
      <c r="N55" s="124">
        <f>'Service model charges'!N42</f>
        <v>23.235516904135658</v>
      </c>
      <c r="O55" s="124">
        <f>'Service model charges'!O42</f>
        <v>8.2007706720478808</v>
      </c>
      <c r="P55" s="124">
        <f>'Service model charges'!P42</f>
        <v>0</v>
      </c>
      <c r="Q55" s="124">
        <f>'Service model charges'!Q42</f>
        <v>23.235516904135658</v>
      </c>
      <c r="R55" s="124">
        <f>'Service model charges'!R42</f>
        <v>8.2007706720478808</v>
      </c>
      <c r="S55" s="124">
        <f>'Service model charges'!S42</f>
        <v>0</v>
      </c>
      <c r="T55" s="83"/>
      <c r="U55" s="124">
        <f>'Service model charges'!U42</f>
        <v>0</v>
      </c>
      <c r="V55" s="124">
        <f>'Service model charges'!V42</f>
        <v>0</v>
      </c>
      <c r="W55" s="124">
        <f>'Service model charges'!W42</f>
        <v>0</v>
      </c>
      <c r="X55" s="124">
        <f>'Service model charges'!X42</f>
        <v>0</v>
      </c>
      <c r="Y55" s="124">
        <f>'Service model charges'!Y42</f>
        <v>0</v>
      </c>
      <c r="Z55" s="124">
        <f>'Service model charges'!Z42</f>
        <v>0</v>
      </c>
      <c r="AA55" s="124">
        <f>'Service model charges'!AA42</f>
        <v>0</v>
      </c>
      <c r="AB55" s="124">
        <f>'Service model charges'!AB42</f>
        <v>0</v>
      </c>
    </row>
    <row r="56" spans="3:30" x14ac:dyDescent="0.25">
      <c r="C56" s="88"/>
      <c r="D56"/>
      <c r="F56" s="37" t="s">
        <v>376</v>
      </c>
      <c r="G56" s="37" t="s">
        <v>269</v>
      </c>
      <c r="H56" s="37"/>
      <c r="I56" s="37"/>
      <c r="J56" s="125">
        <f>'Service model charges'!J43</f>
        <v>0</v>
      </c>
      <c r="K56" s="125">
        <f>'Service model charges'!K43</f>
        <v>0</v>
      </c>
      <c r="L56" s="125">
        <f>'Service model charges'!L43</f>
        <v>0</v>
      </c>
      <c r="M56" s="125">
        <f>'Service model charges'!M43</f>
        <v>0</v>
      </c>
      <c r="N56" s="125">
        <f>'Service model charges'!N43</f>
        <v>0</v>
      </c>
      <c r="O56" s="125">
        <f>'Service model charges'!O43</f>
        <v>0</v>
      </c>
      <c r="P56" s="125">
        <f>'Service model charges'!P43</f>
        <v>124.16460347195436</v>
      </c>
      <c r="Q56" s="125">
        <f>'Service model charges'!Q43</f>
        <v>0</v>
      </c>
      <c r="R56" s="125">
        <f>'Service model charges'!R43</f>
        <v>0</v>
      </c>
      <c r="S56" s="125">
        <f>'Service model charges'!S43</f>
        <v>124.16460347195436</v>
      </c>
      <c r="T56" s="81"/>
      <c r="U56" s="125">
        <f>'Service model charges'!U43</f>
        <v>0</v>
      </c>
      <c r="V56" s="125">
        <f>'Service model charges'!V43</f>
        <v>0</v>
      </c>
      <c r="W56" s="125">
        <f>'Service model charges'!W43</f>
        <v>0</v>
      </c>
      <c r="X56" s="125">
        <f>'Service model charges'!X43</f>
        <v>0</v>
      </c>
      <c r="Y56" s="125">
        <f>'Service model charges'!Y43</f>
        <v>0</v>
      </c>
      <c r="Z56" s="125">
        <f>'Service model charges'!Z43</f>
        <v>0</v>
      </c>
      <c r="AA56" s="125">
        <f>'Service model charges'!AA43</f>
        <v>90.667330037272208</v>
      </c>
      <c r="AB56" s="125">
        <f>'Service model charges'!AB43</f>
        <v>90.667330037272208</v>
      </c>
    </row>
    <row r="57" spans="3:30" x14ac:dyDescent="0.25">
      <c r="C57" s="88"/>
      <c r="D57"/>
      <c r="F57" s="2"/>
    </row>
    <row r="58" spans="3:30" x14ac:dyDescent="0.25">
      <c r="C58" s="31" t="str">
        <f ca="1">INDEX('Version control'!$H$34:$H$57,MATCH($A$1,'Version control'!$F$34:$F$57,0),1)&amp;"-D: Flags"</f>
        <v>Section 114-D: Flags</v>
      </c>
      <c r="D58" s="31"/>
      <c r="E58" s="31"/>
      <c r="F58" s="31"/>
      <c r="G58" s="31"/>
      <c r="H58" s="31"/>
      <c r="I58" s="31"/>
      <c r="J58" s="31"/>
      <c r="K58" s="31"/>
      <c r="L58" s="31"/>
      <c r="M58" s="31"/>
      <c r="N58" s="31"/>
      <c r="O58" s="31"/>
      <c r="P58" s="31"/>
      <c r="Q58" s="31"/>
      <c r="R58" s="31"/>
      <c r="S58" s="31"/>
      <c r="T58" s="31"/>
      <c r="U58" s="31"/>
      <c r="V58" s="31"/>
      <c r="W58" s="31"/>
      <c r="X58" s="31"/>
      <c r="Y58" s="31"/>
      <c r="Z58" s="31"/>
      <c r="AA58" s="31"/>
      <c r="AB58" s="31"/>
      <c r="AC58" s="31"/>
      <c r="AD58" s="31"/>
    </row>
    <row r="59" spans="3:30" x14ac:dyDescent="0.25">
      <c r="C59" s="32"/>
      <c r="D59"/>
      <c r="E59"/>
    </row>
    <row r="60" spans="3:30" x14ac:dyDescent="0.25">
      <c r="D60" s="29" t="s">
        <v>722</v>
      </c>
      <c r="E60"/>
    </row>
    <row r="61" spans="3:30" x14ac:dyDescent="0.25">
      <c r="D61" s="29" t="s">
        <v>723</v>
      </c>
      <c r="E61"/>
    </row>
    <row r="62" spans="3:30" x14ac:dyDescent="0.25">
      <c r="D62" s="29"/>
      <c r="E62"/>
    </row>
    <row r="63" spans="3:30" x14ac:dyDescent="0.25">
      <c r="E63" t="s">
        <v>724</v>
      </c>
      <c r="G63" t="s">
        <v>148</v>
      </c>
      <c r="I63" t="s">
        <v>153</v>
      </c>
      <c r="J63" s="51">
        <f>'Fixed inputs'!J145</f>
        <v>1</v>
      </c>
      <c r="K63" s="51">
        <f>'Fixed inputs'!K145</f>
        <v>0</v>
      </c>
      <c r="L63" s="51">
        <f>'Fixed inputs'!L145</f>
        <v>1</v>
      </c>
      <c r="M63" s="51">
        <f>'Fixed inputs'!M145</f>
        <v>0</v>
      </c>
      <c r="N63" s="51">
        <f>'Fixed inputs'!N145</f>
        <v>0</v>
      </c>
      <c r="O63" s="51">
        <f>'Fixed inputs'!O145</f>
        <v>0</v>
      </c>
      <c r="P63" s="51">
        <f>'Fixed inputs'!P145</f>
        <v>0</v>
      </c>
      <c r="Q63" s="51">
        <f>'Fixed inputs'!Q145</f>
        <v>0</v>
      </c>
      <c r="R63" s="51">
        <f>'Fixed inputs'!R145</f>
        <v>0</v>
      </c>
      <c r="S63" s="51">
        <f>'Fixed inputs'!S145</f>
        <v>0</v>
      </c>
      <c r="T63" s="51">
        <f>'Fixed inputs'!T145</f>
        <v>0</v>
      </c>
      <c r="U63" s="51">
        <f>'Fixed inputs'!U145</f>
        <v>0</v>
      </c>
      <c r="V63" s="51">
        <f>'Fixed inputs'!V145</f>
        <v>0</v>
      </c>
      <c r="W63" s="51">
        <f>'Fixed inputs'!W145</f>
        <v>0</v>
      </c>
      <c r="X63" s="51">
        <f>'Fixed inputs'!X145</f>
        <v>0</v>
      </c>
      <c r="Y63" s="51">
        <f>'Fixed inputs'!Y145</f>
        <v>0</v>
      </c>
      <c r="Z63" s="51">
        <f>'Fixed inputs'!Z145</f>
        <v>0</v>
      </c>
      <c r="AA63" s="51">
        <f>'Fixed inputs'!AA145</f>
        <v>0</v>
      </c>
      <c r="AB63" s="51">
        <f>'Fixed inputs'!AB145</f>
        <v>0</v>
      </c>
      <c r="AD63" t="s">
        <v>725</v>
      </c>
    </row>
    <row r="65" spans="2:30" x14ac:dyDescent="0.25">
      <c r="B65" s="30" t="s">
        <v>726</v>
      </c>
      <c r="C65" s="30"/>
      <c r="D65" s="30"/>
      <c r="E65" s="30"/>
      <c r="F65" s="30"/>
      <c r="G65" s="30"/>
      <c r="H65" s="30"/>
      <c r="I65" s="30"/>
      <c r="J65" s="30"/>
      <c r="K65" s="30"/>
      <c r="L65" s="30"/>
      <c r="M65" s="30"/>
      <c r="N65" s="30"/>
      <c r="O65" s="30"/>
      <c r="P65" s="30"/>
      <c r="Q65" s="30"/>
      <c r="R65" s="30"/>
      <c r="S65" s="30"/>
      <c r="T65" s="30"/>
      <c r="U65" s="30"/>
      <c r="V65" s="30"/>
      <c r="W65" s="30"/>
      <c r="X65" s="30"/>
      <c r="Y65" s="30"/>
      <c r="Z65" s="30"/>
      <c r="AA65" s="30"/>
      <c r="AB65" s="30"/>
      <c r="AC65" s="30"/>
      <c r="AD65" s="30"/>
    </row>
    <row r="66" spans="2:30" x14ac:dyDescent="0.25">
      <c r="J66" s="89"/>
      <c r="K66" s="89"/>
      <c r="L66" s="89"/>
      <c r="M66" s="89"/>
      <c r="N66" s="89"/>
      <c r="O66" s="89"/>
      <c r="P66" s="89"/>
      <c r="Q66" s="89"/>
      <c r="R66" s="89"/>
      <c r="S66" s="89"/>
      <c r="T66" s="89"/>
      <c r="U66" s="89"/>
      <c r="V66" s="89"/>
      <c r="W66" s="89"/>
      <c r="X66" s="89"/>
      <c r="Y66" s="89"/>
      <c r="Z66" s="89"/>
      <c r="AA66" s="89"/>
      <c r="AB66" s="89"/>
    </row>
    <row r="67" spans="2:30" x14ac:dyDescent="0.25">
      <c r="C67" s="31" t="str">
        <f ca="1">INDEX('Version control'!$H$34:$H$57,MATCH($A$1,'Version control'!$F$34:$F$57,0),1)&amp;"-E: Revenue allocated to fixed charges"</f>
        <v>Section 114-E: Revenue allocated to fixed charges</v>
      </c>
      <c r="D67" s="31"/>
      <c r="E67" s="31"/>
      <c r="F67" s="31"/>
      <c r="G67" s="31"/>
      <c r="H67" s="31"/>
      <c r="I67" s="31"/>
      <c r="J67" s="90"/>
      <c r="K67" s="90"/>
      <c r="L67" s="90"/>
      <c r="M67" s="90"/>
      <c r="N67" s="90"/>
      <c r="O67" s="90"/>
      <c r="P67" s="90"/>
      <c r="Q67" s="90"/>
      <c r="R67" s="90"/>
      <c r="S67" s="90"/>
      <c r="T67" s="90"/>
      <c r="U67" s="90"/>
      <c r="V67" s="90"/>
      <c r="W67" s="90"/>
      <c r="X67" s="90"/>
      <c r="Y67" s="90"/>
      <c r="Z67" s="90"/>
      <c r="AA67" s="90"/>
      <c r="AB67" s="90"/>
      <c r="AC67" s="31"/>
      <c r="AD67" s="31"/>
    </row>
    <row r="68" spans="2:30" x14ac:dyDescent="0.25">
      <c r="D68"/>
      <c r="E68" s="32"/>
      <c r="I68" t="s">
        <v>153</v>
      </c>
      <c r="J68" s="89"/>
      <c r="K68" s="89"/>
      <c r="L68" s="89"/>
      <c r="M68" s="89"/>
      <c r="N68" s="89"/>
      <c r="O68" s="89"/>
      <c r="P68" s="89"/>
      <c r="Q68" s="89"/>
      <c r="R68" s="89"/>
      <c r="S68" s="89"/>
      <c r="T68" s="89"/>
      <c r="U68" s="89"/>
      <c r="V68" s="89"/>
      <c r="W68" s="89"/>
      <c r="X68" s="89"/>
      <c r="Y68" s="89"/>
      <c r="Z68" s="89"/>
      <c r="AA68" s="89"/>
      <c r="AB68" s="89"/>
      <c r="AD68" t="s">
        <v>725</v>
      </c>
    </row>
    <row r="69" spans="2:30" x14ac:dyDescent="0.25">
      <c r="C69" s="88"/>
      <c r="D69"/>
      <c r="E69" s="32" t="s">
        <v>620</v>
      </c>
      <c r="J69" s="89"/>
      <c r="K69" s="89"/>
      <c r="L69" s="89"/>
      <c r="M69" s="89"/>
      <c r="N69" s="89"/>
      <c r="O69" s="89"/>
      <c r="P69" s="89"/>
      <c r="Q69" s="89"/>
      <c r="R69" s="89"/>
      <c r="S69" s="89"/>
      <c r="T69" s="89"/>
      <c r="U69" s="89"/>
      <c r="V69" s="89"/>
      <c r="W69" s="89"/>
      <c r="X69" s="89"/>
      <c r="Y69" s="89"/>
      <c r="Z69" s="89"/>
      <c r="AA69" s="89"/>
      <c r="AB69" s="89"/>
    </row>
    <row r="70" spans="2:30" x14ac:dyDescent="0.25">
      <c r="C70" s="88"/>
      <c r="D70"/>
      <c r="E70" s="29"/>
      <c r="F70" s="23" t="s">
        <v>188</v>
      </c>
      <c r="G70" s="23" t="s">
        <v>727</v>
      </c>
      <c r="H70" s="23"/>
      <c r="I70" s="23"/>
      <c r="J70" s="83"/>
      <c r="K70" s="83"/>
      <c r="L70" s="83"/>
      <c r="M70" s="83"/>
      <c r="N70" s="83"/>
      <c r="O70" s="83"/>
      <c r="P70" s="83"/>
      <c r="Q70" s="83"/>
      <c r="R70" s="83"/>
      <c r="S70" s="83"/>
      <c r="T70" s="83"/>
      <c r="U70" s="83"/>
      <c r="V70" s="83"/>
      <c r="W70" s="83"/>
      <c r="X70" s="83"/>
      <c r="Y70" s="83"/>
      <c r="Z70" s="83"/>
      <c r="AA70" s="83"/>
      <c r="AB70" s="83"/>
    </row>
    <row r="71" spans="2:30" x14ac:dyDescent="0.25">
      <c r="C71" s="88"/>
      <c r="D71"/>
      <c r="E71" s="29"/>
      <c r="F71" t="s">
        <v>190</v>
      </c>
      <c r="G71" t="s">
        <v>727</v>
      </c>
      <c r="J71" s="79"/>
      <c r="K71" s="79"/>
      <c r="L71" s="79"/>
      <c r="M71" s="79"/>
      <c r="N71" s="79"/>
      <c r="O71" s="79"/>
      <c r="P71" s="79"/>
      <c r="Q71" s="79"/>
      <c r="R71" s="79"/>
      <c r="S71" s="79"/>
      <c r="T71" s="79"/>
      <c r="U71" s="79"/>
      <c r="V71" s="79"/>
      <c r="W71" s="79"/>
      <c r="X71" s="79"/>
      <c r="Y71" s="79"/>
      <c r="Z71" s="79"/>
      <c r="AA71" s="79"/>
      <c r="AB71" s="79"/>
    </row>
    <row r="72" spans="2:30" x14ac:dyDescent="0.25">
      <c r="C72" s="88"/>
      <c r="D72"/>
      <c r="E72" s="29"/>
      <c r="F72" t="s">
        <v>191</v>
      </c>
      <c r="G72" t="s">
        <v>727</v>
      </c>
      <c r="J72" s="98">
        <f t="shared" ref="J72:K72" si="0">J$20 * J27 * thousand / PowerFactor</f>
        <v>0</v>
      </c>
      <c r="K72" s="98">
        <f t="shared" si="0"/>
        <v>0</v>
      </c>
      <c r="L72" s="98">
        <f t="shared" ref="L72:M72" si="1">L$20 * L27 * thousand / PowerFactor</f>
        <v>0</v>
      </c>
      <c r="M72" s="98">
        <f t="shared" si="1"/>
        <v>0</v>
      </c>
      <c r="N72" s="98">
        <f t="shared" ref="N72:P72" si="2">N$20 * N27 * thousand / PowerFactor</f>
        <v>0</v>
      </c>
      <c r="O72" s="98">
        <f t="shared" si="2"/>
        <v>0</v>
      </c>
      <c r="P72" s="98">
        <f t="shared" si="2"/>
        <v>0</v>
      </c>
      <c r="Q72" s="98">
        <f t="shared" ref="Q72:S72" si="3">Q$20 * Q27 * thousand / PowerFactor</f>
        <v>0</v>
      </c>
      <c r="R72" s="98">
        <f t="shared" si="3"/>
        <v>0</v>
      </c>
      <c r="S72" s="98">
        <f t="shared" si="3"/>
        <v>0</v>
      </c>
      <c r="T72" s="98">
        <f t="shared" ref="T72:V72" si="4">T$20 * T27 * thousand / PowerFactor</f>
        <v>0</v>
      </c>
      <c r="U72" s="98">
        <f t="shared" si="4"/>
        <v>0</v>
      </c>
      <c r="V72" s="98">
        <f t="shared" si="4"/>
        <v>0</v>
      </c>
      <c r="W72" s="98">
        <f t="shared" ref="W72:X72" si="5">W$20 * W27 * thousand / PowerFactor</f>
        <v>0</v>
      </c>
      <c r="X72" s="98">
        <f t="shared" si="5"/>
        <v>0</v>
      </c>
      <c r="Y72" s="98">
        <f t="shared" ref="Y72:Z72" si="6">Y$20 * Y27 * thousand / PowerFactor</f>
        <v>0</v>
      </c>
      <c r="Z72" s="98">
        <f t="shared" si="6"/>
        <v>0</v>
      </c>
      <c r="AA72" s="98">
        <f t="shared" ref="AA72:AB72" si="7">AA$20 * AA27 * thousand / PowerFactor</f>
        <v>0</v>
      </c>
      <c r="AB72" s="98">
        <f t="shared" si="7"/>
        <v>0</v>
      </c>
    </row>
    <row r="73" spans="2:30" x14ac:dyDescent="0.25">
      <c r="C73" s="88"/>
      <c r="D73"/>
      <c r="E73" s="29"/>
      <c r="F73" t="s">
        <v>192</v>
      </c>
      <c r="G73" t="s">
        <v>727</v>
      </c>
      <c r="J73" s="98">
        <f t="shared" ref="J73:K73" si="8">J$20 * J28 * thousand / PowerFactor</f>
        <v>0</v>
      </c>
      <c r="K73" s="98">
        <f t="shared" si="8"/>
        <v>0</v>
      </c>
      <c r="L73" s="98">
        <f t="shared" ref="L73:M73" si="9">L$20 * L28 * thousand / PowerFactor</f>
        <v>0</v>
      </c>
      <c r="M73" s="98">
        <f t="shared" si="9"/>
        <v>0</v>
      </c>
      <c r="N73" s="98">
        <f t="shared" ref="N73:P73" si="10">N$20 * N28 * thousand / PowerFactor</f>
        <v>0</v>
      </c>
      <c r="O73" s="98">
        <f t="shared" si="10"/>
        <v>0</v>
      </c>
      <c r="P73" s="98">
        <f t="shared" si="10"/>
        <v>0</v>
      </c>
      <c r="Q73" s="98">
        <f t="shared" ref="Q73:S73" si="11">Q$20 * Q28 * thousand / PowerFactor</f>
        <v>0</v>
      </c>
      <c r="R73" s="98">
        <f t="shared" si="11"/>
        <v>0</v>
      </c>
      <c r="S73" s="98">
        <f t="shared" si="11"/>
        <v>0</v>
      </c>
      <c r="T73" s="98">
        <f t="shared" ref="T73:V73" si="12">T$20 * T28 * thousand / PowerFactor</f>
        <v>0</v>
      </c>
      <c r="U73" s="98">
        <f t="shared" si="12"/>
        <v>0</v>
      </c>
      <c r="V73" s="98">
        <f t="shared" si="12"/>
        <v>0</v>
      </c>
      <c r="W73" s="98">
        <f t="shared" ref="W73:X73" si="13">W$20 * W28 * thousand / PowerFactor</f>
        <v>0</v>
      </c>
      <c r="X73" s="98">
        <f t="shared" si="13"/>
        <v>0</v>
      </c>
      <c r="Y73" s="98">
        <f t="shared" ref="Y73:Z73" si="14">Y$20 * Y28 * thousand / PowerFactor</f>
        <v>0</v>
      </c>
      <c r="Z73" s="98">
        <f t="shared" si="14"/>
        <v>0</v>
      </c>
      <c r="AA73" s="98">
        <f t="shared" ref="AA73:AB73" si="15">AA$20 * AA28 * thousand / PowerFactor</f>
        <v>0</v>
      </c>
      <c r="AB73" s="98">
        <f t="shared" si="15"/>
        <v>0</v>
      </c>
    </row>
    <row r="74" spans="2:30" x14ac:dyDescent="0.25">
      <c r="C74" s="88"/>
      <c r="D74"/>
      <c r="E74" s="29"/>
      <c r="F74" t="s">
        <v>193</v>
      </c>
      <c r="G74" t="s">
        <v>727</v>
      </c>
      <c r="J74" s="98">
        <f t="shared" ref="J74:K74" si="16">J$20 * J29 * thousand / PowerFactor</f>
        <v>0</v>
      </c>
      <c r="K74" s="98">
        <f t="shared" si="16"/>
        <v>0</v>
      </c>
      <c r="L74" s="98">
        <f t="shared" ref="L74:M74" si="17">L$20 * L29 * thousand / PowerFactor</f>
        <v>0</v>
      </c>
      <c r="M74" s="98">
        <f t="shared" si="17"/>
        <v>0</v>
      </c>
      <c r="N74" s="98">
        <f t="shared" ref="N74:P74" si="18">N$20 * N29 * thousand / PowerFactor</f>
        <v>0</v>
      </c>
      <c r="O74" s="98">
        <f t="shared" si="18"/>
        <v>0</v>
      </c>
      <c r="P74" s="98">
        <f t="shared" si="18"/>
        <v>0</v>
      </c>
      <c r="Q74" s="98">
        <f t="shared" ref="Q74:S74" si="19">Q$20 * Q29 * thousand / PowerFactor</f>
        <v>0</v>
      </c>
      <c r="R74" s="98">
        <f t="shared" si="19"/>
        <v>0</v>
      </c>
      <c r="S74" s="98">
        <f t="shared" si="19"/>
        <v>0</v>
      </c>
      <c r="T74" s="98">
        <f t="shared" ref="T74:V74" si="20">T$20 * T29 * thousand / PowerFactor</f>
        <v>0</v>
      </c>
      <c r="U74" s="98">
        <f t="shared" si="20"/>
        <v>0</v>
      </c>
      <c r="V74" s="98">
        <f t="shared" si="20"/>
        <v>0</v>
      </c>
      <c r="W74" s="98">
        <f t="shared" ref="W74:X74" si="21">W$20 * W29 * thousand / PowerFactor</f>
        <v>0</v>
      </c>
      <c r="X74" s="98">
        <f t="shared" si="21"/>
        <v>0</v>
      </c>
      <c r="Y74" s="98">
        <f t="shared" ref="Y74:Z74" si="22">Y$20 * Y29 * thousand / PowerFactor</f>
        <v>0</v>
      </c>
      <c r="Z74" s="98">
        <f t="shared" si="22"/>
        <v>0</v>
      </c>
      <c r="AA74" s="98">
        <f t="shared" ref="AA74:AB74" si="23">AA$20 * AA29 * thousand / PowerFactor</f>
        <v>0</v>
      </c>
      <c r="AB74" s="98">
        <f t="shared" si="23"/>
        <v>0</v>
      </c>
    </row>
    <row r="75" spans="2:30" x14ac:dyDescent="0.25">
      <c r="C75" s="88"/>
      <c r="D75"/>
      <c r="E75" s="29"/>
      <c r="F75" t="s">
        <v>194</v>
      </c>
      <c r="G75" t="s">
        <v>727</v>
      </c>
      <c r="J75" s="98">
        <f t="shared" ref="J75:K75" si="24">J$20 * J30 * thousand / PowerFactor</f>
        <v>0</v>
      </c>
      <c r="K75" s="98">
        <f t="shared" si="24"/>
        <v>0</v>
      </c>
      <c r="L75" s="98">
        <f t="shared" ref="L75:M75" si="25">L$20 * L30 * thousand / PowerFactor</f>
        <v>0</v>
      </c>
      <c r="M75" s="98">
        <f t="shared" si="25"/>
        <v>0</v>
      </c>
      <c r="N75" s="98">
        <f t="shared" ref="N75:P75" si="26">N$20 * N30 * thousand / PowerFactor</f>
        <v>0</v>
      </c>
      <c r="O75" s="98">
        <f t="shared" si="26"/>
        <v>0</v>
      </c>
      <c r="P75" s="98">
        <f t="shared" si="26"/>
        <v>0</v>
      </c>
      <c r="Q75" s="98">
        <f t="shared" ref="Q75:S75" si="27">Q$20 * Q30 * thousand / PowerFactor</f>
        <v>0</v>
      </c>
      <c r="R75" s="98">
        <f t="shared" si="27"/>
        <v>0</v>
      </c>
      <c r="S75" s="98">
        <f t="shared" si="27"/>
        <v>0</v>
      </c>
      <c r="T75" s="98">
        <f t="shared" ref="T75:V75" si="28">T$20 * T30 * thousand / PowerFactor</f>
        <v>0</v>
      </c>
      <c r="U75" s="98">
        <f t="shared" si="28"/>
        <v>0</v>
      </c>
      <c r="V75" s="98">
        <f t="shared" si="28"/>
        <v>0</v>
      </c>
      <c r="W75" s="98">
        <f t="shared" ref="W75:X75" si="29">W$20 * W30 * thousand / PowerFactor</f>
        <v>0</v>
      </c>
      <c r="X75" s="98">
        <f t="shared" si="29"/>
        <v>0</v>
      </c>
      <c r="Y75" s="98">
        <f t="shared" ref="Y75:Z75" si="30">Y$20 * Y30 * thousand / PowerFactor</f>
        <v>0</v>
      </c>
      <c r="Z75" s="98">
        <f t="shared" si="30"/>
        <v>0</v>
      </c>
      <c r="AA75" s="98">
        <f t="shared" ref="AA75:AB75" si="31">AA$20 * AA30 * thousand / PowerFactor</f>
        <v>0</v>
      </c>
      <c r="AB75" s="98">
        <f t="shared" si="31"/>
        <v>0</v>
      </c>
    </row>
    <row r="76" spans="2:30" x14ac:dyDescent="0.25">
      <c r="C76" s="88"/>
      <c r="D76"/>
      <c r="E76" s="29"/>
      <c r="F76" t="s">
        <v>195</v>
      </c>
      <c r="G76" t="s">
        <v>727</v>
      </c>
      <c r="J76" s="98">
        <f t="shared" ref="J76:K76" si="32">J$20 * J31 * thousand / PowerFactor</f>
        <v>0</v>
      </c>
      <c r="K76" s="98">
        <f t="shared" si="32"/>
        <v>0</v>
      </c>
      <c r="L76" s="98">
        <f t="shared" ref="L76:M76" si="33">L$20 * L31 * thousand / PowerFactor</f>
        <v>0</v>
      </c>
      <c r="M76" s="98">
        <f t="shared" si="33"/>
        <v>0</v>
      </c>
      <c r="N76" s="98">
        <f t="shared" ref="N76:P76" si="34">N$20 * N31 * thousand / PowerFactor</f>
        <v>0</v>
      </c>
      <c r="O76" s="98">
        <f t="shared" si="34"/>
        <v>0</v>
      </c>
      <c r="P76" s="98">
        <f t="shared" si="34"/>
        <v>0</v>
      </c>
      <c r="Q76" s="98">
        <f t="shared" ref="Q76:S76" si="35">Q$20 * Q31 * thousand / PowerFactor</f>
        <v>0</v>
      </c>
      <c r="R76" s="98">
        <f t="shared" si="35"/>
        <v>0</v>
      </c>
      <c r="S76" s="98">
        <f t="shared" si="35"/>
        <v>0</v>
      </c>
      <c r="T76" s="98">
        <f t="shared" ref="T76:V76" si="36">T$20 * T31 * thousand / PowerFactor</f>
        <v>0</v>
      </c>
      <c r="U76" s="98">
        <f t="shared" si="36"/>
        <v>0</v>
      </c>
      <c r="V76" s="98">
        <f t="shared" si="36"/>
        <v>0</v>
      </c>
      <c r="W76" s="98">
        <f t="shared" ref="W76:X76" si="37">W$20 * W31 * thousand / PowerFactor</f>
        <v>0</v>
      </c>
      <c r="X76" s="98">
        <f t="shared" si="37"/>
        <v>0</v>
      </c>
      <c r="Y76" s="98">
        <f t="shared" ref="Y76:Z76" si="38">Y$20 * Y31 * thousand / PowerFactor</f>
        <v>0</v>
      </c>
      <c r="Z76" s="98">
        <f t="shared" si="38"/>
        <v>0</v>
      </c>
      <c r="AA76" s="98">
        <f t="shared" ref="AA76:AB76" si="39">AA$20 * AA31 * thousand / PowerFactor</f>
        <v>0</v>
      </c>
      <c r="AB76" s="98">
        <f t="shared" si="39"/>
        <v>0</v>
      </c>
    </row>
    <row r="77" spans="2:30" x14ac:dyDescent="0.25">
      <c r="C77" s="88"/>
      <c r="D77"/>
      <c r="E77" s="29"/>
      <c r="F77" t="s">
        <v>196</v>
      </c>
      <c r="G77" t="s">
        <v>727</v>
      </c>
      <c r="J77" s="98">
        <f t="shared" ref="J77:K77" si="40">J$20 * J32 * thousand / PowerFactor</f>
        <v>0</v>
      </c>
      <c r="K77" s="98">
        <f t="shared" si="40"/>
        <v>0</v>
      </c>
      <c r="L77" s="98">
        <f t="shared" ref="L77:M77" si="41">L$20 * L32 * thousand / PowerFactor</f>
        <v>0</v>
      </c>
      <c r="M77" s="98">
        <f t="shared" si="41"/>
        <v>0</v>
      </c>
      <c r="N77" s="98">
        <f t="shared" ref="N77:P77" si="42">N$20 * N32 * thousand / PowerFactor</f>
        <v>0</v>
      </c>
      <c r="O77" s="98">
        <f t="shared" si="42"/>
        <v>0</v>
      </c>
      <c r="P77" s="98">
        <f t="shared" si="42"/>
        <v>0</v>
      </c>
      <c r="Q77" s="98">
        <f t="shared" ref="Q77:S77" si="43">Q$20 * Q32 * thousand / PowerFactor</f>
        <v>0</v>
      </c>
      <c r="R77" s="98">
        <f t="shared" si="43"/>
        <v>0</v>
      </c>
      <c r="S77" s="98">
        <f t="shared" si="43"/>
        <v>0</v>
      </c>
      <c r="T77" s="98">
        <f t="shared" ref="T77:V77" si="44">T$20 * T32 * thousand / PowerFactor</f>
        <v>0</v>
      </c>
      <c r="U77" s="98">
        <f t="shared" si="44"/>
        <v>0</v>
      </c>
      <c r="V77" s="98">
        <f t="shared" si="44"/>
        <v>0</v>
      </c>
      <c r="W77" s="98">
        <f t="shared" ref="W77:X77" si="45">W$20 * W32 * thousand / PowerFactor</f>
        <v>0</v>
      </c>
      <c r="X77" s="98">
        <f t="shared" si="45"/>
        <v>0</v>
      </c>
      <c r="Y77" s="98">
        <f t="shared" ref="Y77:Z77" si="46">Y$20 * Y32 * thousand / PowerFactor</f>
        <v>0</v>
      </c>
      <c r="Z77" s="98">
        <f t="shared" si="46"/>
        <v>0</v>
      </c>
      <c r="AA77" s="98">
        <f t="shared" ref="AA77:AB77" si="47">AA$20 * AA32 * thousand / PowerFactor</f>
        <v>0</v>
      </c>
      <c r="AB77" s="98">
        <f t="shared" si="47"/>
        <v>0</v>
      </c>
    </row>
    <row r="78" spans="2:30" x14ac:dyDescent="0.25">
      <c r="C78" s="88"/>
      <c r="D78"/>
      <c r="E78" s="29"/>
      <c r="F78" t="s">
        <v>197</v>
      </c>
      <c r="G78" t="s">
        <v>727</v>
      </c>
      <c r="J78" s="98">
        <f t="shared" ref="J78:K78" si="48">J$20 * J33 * thousand / PowerFactor</f>
        <v>0</v>
      </c>
      <c r="K78" s="98">
        <f t="shared" si="48"/>
        <v>0</v>
      </c>
      <c r="L78" s="98">
        <f t="shared" ref="L78:M78" si="49">L$20 * L33 * thousand / PowerFactor</f>
        <v>0</v>
      </c>
      <c r="M78" s="98">
        <f t="shared" si="49"/>
        <v>0</v>
      </c>
      <c r="N78" s="98">
        <f t="shared" ref="N78:P78" si="50">N$20 * N33 * thousand / PowerFactor</f>
        <v>0</v>
      </c>
      <c r="O78" s="98">
        <f t="shared" si="50"/>
        <v>0</v>
      </c>
      <c r="P78" s="98">
        <f t="shared" si="50"/>
        <v>0</v>
      </c>
      <c r="Q78" s="98">
        <f t="shared" ref="Q78:S78" si="51">Q$20 * Q33 * thousand / PowerFactor</f>
        <v>0</v>
      </c>
      <c r="R78" s="98">
        <f t="shared" si="51"/>
        <v>0</v>
      </c>
      <c r="S78" s="98">
        <f t="shared" si="51"/>
        <v>0</v>
      </c>
      <c r="T78" s="98">
        <f t="shared" ref="T78:V78" si="52">T$20 * T33 * thousand / PowerFactor</f>
        <v>0</v>
      </c>
      <c r="U78" s="98">
        <f t="shared" si="52"/>
        <v>0</v>
      </c>
      <c r="V78" s="98">
        <f t="shared" si="52"/>
        <v>0</v>
      </c>
      <c r="W78" s="98">
        <f t="shared" ref="W78:X78" si="53">W$20 * W33 * thousand / PowerFactor</f>
        <v>0</v>
      </c>
      <c r="X78" s="98">
        <f t="shared" si="53"/>
        <v>0</v>
      </c>
      <c r="Y78" s="98">
        <f t="shared" ref="Y78:Z78" si="54">Y$20 * Y33 * thousand / PowerFactor</f>
        <v>0</v>
      </c>
      <c r="Z78" s="98">
        <f t="shared" si="54"/>
        <v>0</v>
      </c>
      <c r="AA78" s="98">
        <f t="shared" ref="AA78:AB78" si="55">AA$20 * AA33 * thousand / PowerFactor</f>
        <v>0</v>
      </c>
      <c r="AB78" s="98">
        <f t="shared" si="55"/>
        <v>0</v>
      </c>
    </row>
    <row r="79" spans="2:30" x14ac:dyDescent="0.25">
      <c r="C79" s="88"/>
      <c r="D79"/>
      <c r="E79" s="29"/>
      <c r="F79" t="s">
        <v>198</v>
      </c>
      <c r="G79" t="s">
        <v>727</v>
      </c>
      <c r="J79" s="98">
        <f t="shared" ref="J79:K79" si="56">J$20 * J34 * thousand / PowerFactor</f>
        <v>119204.48388200157</v>
      </c>
      <c r="K79" s="98">
        <f t="shared" si="56"/>
        <v>0</v>
      </c>
      <c r="L79" s="98">
        <f t="shared" ref="L79:M79" si="57">L$20 * L34 * thousand / PowerFactor</f>
        <v>48503.009834179102</v>
      </c>
      <c r="M79" s="98">
        <f t="shared" si="57"/>
        <v>0</v>
      </c>
      <c r="N79" s="98">
        <f t="shared" ref="N79:P79" si="58">N$20 * N34 * thousand / PowerFactor</f>
        <v>0</v>
      </c>
      <c r="O79" s="98">
        <f t="shared" si="58"/>
        <v>0</v>
      </c>
      <c r="P79" s="98">
        <f t="shared" si="58"/>
        <v>0</v>
      </c>
      <c r="Q79" s="98">
        <f t="shared" ref="Q79:S79" si="59">Q$20 * Q34 * thousand / PowerFactor</f>
        <v>0</v>
      </c>
      <c r="R79" s="98">
        <f t="shared" si="59"/>
        <v>0</v>
      </c>
      <c r="S79" s="98">
        <f t="shared" si="59"/>
        <v>0</v>
      </c>
      <c r="T79" s="98">
        <f t="shared" ref="T79:V79" si="60">T$20 * T34 * thousand / PowerFactor</f>
        <v>0</v>
      </c>
      <c r="U79" s="98">
        <f t="shared" si="60"/>
        <v>0</v>
      </c>
      <c r="V79" s="98">
        <f t="shared" si="60"/>
        <v>0</v>
      </c>
      <c r="W79" s="98">
        <f t="shared" ref="W79:X79" si="61">W$20 * W34 * thousand / PowerFactor</f>
        <v>0</v>
      </c>
      <c r="X79" s="98">
        <f t="shared" si="61"/>
        <v>0</v>
      </c>
      <c r="Y79" s="98">
        <f t="shared" ref="Y79:Z79" si="62">Y$20 * Y34 * thousand / PowerFactor</f>
        <v>0</v>
      </c>
      <c r="Z79" s="98">
        <f t="shared" si="62"/>
        <v>0</v>
      </c>
      <c r="AA79" s="98">
        <f t="shared" ref="AA79:AB79" si="63">AA$20 * AA34 * thousand / PowerFactor</f>
        <v>0</v>
      </c>
      <c r="AB79" s="98">
        <f t="shared" si="63"/>
        <v>0</v>
      </c>
    </row>
    <row r="80" spans="2:30" x14ac:dyDescent="0.25">
      <c r="C80" s="88"/>
      <c r="D80"/>
      <c r="E80" s="29"/>
      <c r="F80" t="s">
        <v>375</v>
      </c>
      <c r="G80" t="s">
        <v>727</v>
      </c>
      <c r="J80" s="79"/>
      <c r="K80" s="79"/>
      <c r="L80" s="79"/>
      <c r="M80" s="79"/>
      <c r="N80" s="79"/>
      <c r="O80" s="79"/>
      <c r="P80" s="79"/>
      <c r="Q80" s="79"/>
      <c r="R80" s="79"/>
      <c r="S80" s="79"/>
      <c r="T80" s="79"/>
      <c r="U80" s="79"/>
      <c r="V80" s="79"/>
      <c r="W80" s="79"/>
      <c r="X80" s="79"/>
      <c r="Y80" s="79"/>
      <c r="Z80" s="79"/>
      <c r="AA80" s="79"/>
      <c r="AB80" s="79"/>
    </row>
    <row r="81" spans="3:28" x14ac:dyDescent="0.25">
      <c r="C81" s="88"/>
      <c r="D81"/>
      <c r="E81" s="29"/>
      <c r="F81" s="37" t="s">
        <v>376</v>
      </c>
      <c r="G81" s="37" t="s">
        <v>727</v>
      </c>
      <c r="H81" s="37"/>
      <c r="I81" s="37"/>
      <c r="J81" s="81"/>
      <c r="K81" s="81"/>
      <c r="L81" s="81"/>
      <c r="M81" s="81"/>
      <c r="N81" s="81"/>
      <c r="O81" s="81"/>
      <c r="P81" s="81"/>
      <c r="Q81" s="81"/>
      <c r="R81" s="81"/>
      <c r="S81" s="81"/>
      <c r="T81" s="81"/>
      <c r="U81" s="81"/>
      <c r="V81" s="81"/>
      <c r="W81" s="81"/>
      <c r="X81" s="81"/>
      <c r="Y81" s="81"/>
      <c r="Z81" s="81"/>
      <c r="AA81" s="81"/>
      <c r="AB81" s="81"/>
    </row>
    <row r="82" spans="3:28" x14ac:dyDescent="0.25">
      <c r="C82" s="88"/>
      <c r="D82"/>
      <c r="E82" s="29"/>
      <c r="J82" s="89"/>
      <c r="K82" s="89"/>
      <c r="L82" s="89"/>
      <c r="M82" s="89"/>
      <c r="N82" s="89"/>
      <c r="O82" s="89"/>
      <c r="P82" s="89"/>
      <c r="Q82" s="89"/>
      <c r="R82" s="89"/>
      <c r="S82" s="89"/>
      <c r="T82" s="89"/>
      <c r="U82" s="89"/>
      <c r="V82" s="89"/>
      <c r="W82" s="89"/>
      <c r="X82" s="89"/>
      <c r="Y82" s="89"/>
      <c r="Z82" s="89"/>
      <c r="AA82" s="89"/>
      <c r="AB82" s="89"/>
    </row>
    <row r="83" spans="3:28" x14ac:dyDescent="0.25">
      <c r="C83" s="88"/>
      <c r="D83"/>
      <c r="E83" s="32" t="s">
        <v>621</v>
      </c>
      <c r="J83" s="89"/>
      <c r="K83" s="89"/>
      <c r="L83" s="89"/>
      <c r="M83" s="89"/>
      <c r="N83" s="89"/>
      <c r="O83" s="89"/>
      <c r="P83" s="89"/>
      <c r="Q83" s="89"/>
      <c r="R83" s="89"/>
      <c r="S83" s="89"/>
      <c r="T83" s="89"/>
      <c r="U83" s="89"/>
      <c r="V83" s="89"/>
      <c r="W83" s="89"/>
      <c r="X83" s="89"/>
      <c r="Y83" s="89"/>
      <c r="Z83" s="89"/>
      <c r="AA83" s="89"/>
      <c r="AB83" s="89"/>
    </row>
    <row r="84" spans="3:28" x14ac:dyDescent="0.25">
      <c r="C84" s="88"/>
      <c r="D84"/>
      <c r="F84" s="23" t="s">
        <v>188</v>
      </c>
      <c r="G84" s="23" t="s">
        <v>727</v>
      </c>
      <c r="H84" s="23"/>
      <c r="I84" s="23"/>
      <c r="J84" s="126">
        <f t="shared" ref="J84:K84" si="64">J$20 * J39 * thousand / PowerFactor</f>
        <v>0</v>
      </c>
      <c r="K84" s="126">
        <f t="shared" si="64"/>
        <v>0</v>
      </c>
      <c r="L84" s="126">
        <f t="shared" ref="L84:M84" si="65">L$20 * L39 * thousand / PowerFactor</f>
        <v>0</v>
      </c>
      <c r="M84" s="126">
        <f t="shared" si="65"/>
        <v>0</v>
      </c>
      <c r="N84" s="126">
        <f t="shared" ref="N84:P84" si="66">N$20 * N39 * thousand / PowerFactor</f>
        <v>0</v>
      </c>
      <c r="O84" s="126">
        <f t="shared" si="66"/>
        <v>0</v>
      </c>
      <c r="P84" s="126">
        <f t="shared" si="66"/>
        <v>0</v>
      </c>
      <c r="Q84" s="126">
        <f t="shared" ref="Q84:S84" si="67">Q$20 * Q39 * thousand / PowerFactor</f>
        <v>0</v>
      </c>
      <c r="R84" s="126">
        <f t="shared" si="67"/>
        <v>0</v>
      </c>
      <c r="S84" s="126">
        <f t="shared" si="67"/>
        <v>0</v>
      </c>
      <c r="T84" s="126">
        <f t="shared" ref="T84:V84" si="68">T$20 * T39 * thousand / PowerFactor</f>
        <v>0</v>
      </c>
      <c r="U84" s="126">
        <f t="shared" si="68"/>
        <v>0</v>
      </c>
      <c r="V84" s="126">
        <f t="shared" si="68"/>
        <v>0</v>
      </c>
      <c r="W84" s="126">
        <f t="shared" ref="W84:X84" si="69">W$20 * W39 * thousand / PowerFactor</f>
        <v>0</v>
      </c>
      <c r="X84" s="126">
        <f t="shared" si="69"/>
        <v>0</v>
      </c>
      <c r="Y84" s="126">
        <f t="shared" ref="Y84:Z84" si="70">Y$20 * Y39 * thousand / PowerFactor</f>
        <v>0</v>
      </c>
      <c r="Z84" s="126">
        <f t="shared" si="70"/>
        <v>0</v>
      </c>
      <c r="AA84" s="126">
        <f t="shared" ref="AA84:AB84" si="71">AA$20 * AA39 * thousand / PowerFactor</f>
        <v>0</v>
      </c>
      <c r="AB84" s="126">
        <f t="shared" si="71"/>
        <v>0</v>
      </c>
    </row>
    <row r="85" spans="3:28" x14ac:dyDescent="0.25">
      <c r="C85" s="88"/>
      <c r="D85"/>
      <c r="F85" t="s">
        <v>190</v>
      </c>
      <c r="G85" t="s">
        <v>727</v>
      </c>
      <c r="J85" s="98">
        <f t="shared" ref="J85:K85" si="72">J$20 * J40 * thousand / PowerFactor</f>
        <v>0</v>
      </c>
      <c r="K85" s="98">
        <f t="shared" si="72"/>
        <v>0</v>
      </c>
      <c r="L85" s="98">
        <f t="shared" ref="L85:M85" si="73">L$20 * L40 * thousand / PowerFactor</f>
        <v>0</v>
      </c>
      <c r="M85" s="98">
        <f t="shared" si="73"/>
        <v>0</v>
      </c>
      <c r="N85" s="98">
        <f t="shared" ref="N85:P85" si="74">N$20 * N40 * thousand / PowerFactor</f>
        <v>0</v>
      </c>
      <c r="O85" s="98">
        <f t="shared" si="74"/>
        <v>0</v>
      </c>
      <c r="P85" s="98">
        <f t="shared" si="74"/>
        <v>0</v>
      </c>
      <c r="Q85" s="98">
        <f t="shared" ref="Q85:S85" si="75">Q$20 * Q40 * thousand / PowerFactor</f>
        <v>0</v>
      </c>
      <c r="R85" s="98">
        <f t="shared" si="75"/>
        <v>0</v>
      </c>
      <c r="S85" s="98">
        <f t="shared" si="75"/>
        <v>0</v>
      </c>
      <c r="T85" s="98">
        <f t="shared" ref="T85:V85" si="76">T$20 * T40 * thousand / PowerFactor</f>
        <v>0</v>
      </c>
      <c r="U85" s="98">
        <f t="shared" si="76"/>
        <v>0</v>
      </c>
      <c r="V85" s="98">
        <f t="shared" si="76"/>
        <v>0</v>
      </c>
      <c r="W85" s="98">
        <f t="shared" ref="W85:X85" si="77">W$20 * W40 * thousand / PowerFactor</f>
        <v>0</v>
      </c>
      <c r="X85" s="98">
        <f t="shared" si="77"/>
        <v>0</v>
      </c>
      <c r="Y85" s="98">
        <f t="shared" ref="Y85:Z85" si="78">Y$20 * Y40 * thousand / PowerFactor</f>
        <v>0</v>
      </c>
      <c r="Z85" s="98">
        <f t="shared" si="78"/>
        <v>0</v>
      </c>
      <c r="AA85" s="98">
        <f t="shared" ref="AA85:AB85" si="79">AA$20 * AA40 * thousand / PowerFactor</f>
        <v>0</v>
      </c>
      <c r="AB85" s="98">
        <f t="shared" si="79"/>
        <v>0</v>
      </c>
    </row>
    <row r="86" spans="3:28" x14ac:dyDescent="0.25">
      <c r="C86" s="88"/>
      <c r="D86"/>
      <c r="F86" t="s">
        <v>191</v>
      </c>
      <c r="G86" t="s">
        <v>727</v>
      </c>
      <c r="J86" s="98">
        <f t="shared" ref="J86:K86" si="80">J$20 * J41 * thousand / PowerFactor</f>
        <v>0</v>
      </c>
      <c r="K86" s="98">
        <f t="shared" si="80"/>
        <v>0</v>
      </c>
      <c r="L86" s="98">
        <f t="shared" ref="L86:M86" si="81">L$20 * L41 * thousand / PowerFactor</f>
        <v>0</v>
      </c>
      <c r="M86" s="98">
        <f t="shared" si="81"/>
        <v>0</v>
      </c>
      <c r="N86" s="98">
        <f t="shared" ref="N86:P86" si="82">N$20 * N41 * thousand / PowerFactor</f>
        <v>0</v>
      </c>
      <c r="O86" s="98">
        <f t="shared" si="82"/>
        <v>0</v>
      </c>
      <c r="P86" s="98">
        <f t="shared" si="82"/>
        <v>0</v>
      </c>
      <c r="Q86" s="98">
        <f t="shared" ref="Q86:S86" si="83">Q$20 * Q41 * thousand / PowerFactor</f>
        <v>0</v>
      </c>
      <c r="R86" s="98">
        <f t="shared" si="83"/>
        <v>0</v>
      </c>
      <c r="S86" s="98">
        <f t="shared" si="83"/>
        <v>0</v>
      </c>
      <c r="T86" s="98">
        <f t="shared" ref="T86:V86" si="84">T$20 * T41 * thousand / PowerFactor</f>
        <v>0</v>
      </c>
      <c r="U86" s="98">
        <f t="shared" si="84"/>
        <v>0</v>
      </c>
      <c r="V86" s="98">
        <f t="shared" si="84"/>
        <v>0</v>
      </c>
      <c r="W86" s="98">
        <f t="shared" ref="W86:X86" si="85">W$20 * W41 * thousand / PowerFactor</f>
        <v>0</v>
      </c>
      <c r="X86" s="98">
        <f t="shared" si="85"/>
        <v>0</v>
      </c>
      <c r="Y86" s="98">
        <f t="shared" ref="Y86:Z86" si="86">Y$20 * Y41 * thousand / PowerFactor</f>
        <v>0</v>
      </c>
      <c r="Z86" s="98">
        <f t="shared" si="86"/>
        <v>0</v>
      </c>
      <c r="AA86" s="98">
        <f t="shared" ref="AA86:AB86" si="87">AA$20 * AA41 * thousand / PowerFactor</f>
        <v>0</v>
      </c>
      <c r="AB86" s="98">
        <f t="shared" si="87"/>
        <v>0</v>
      </c>
    </row>
    <row r="87" spans="3:28" x14ac:dyDescent="0.25">
      <c r="C87" s="88"/>
      <c r="D87"/>
      <c r="F87" t="s">
        <v>192</v>
      </c>
      <c r="G87" t="s">
        <v>727</v>
      </c>
      <c r="J87" s="98">
        <f t="shared" ref="J87:K87" si="88">J$20 * J42 * thousand / PowerFactor</f>
        <v>0</v>
      </c>
      <c r="K87" s="98">
        <f t="shared" si="88"/>
        <v>0</v>
      </c>
      <c r="L87" s="98">
        <f t="shared" ref="L87:M87" si="89">L$20 * L42 * thousand / PowerFactor</f>
        <v>0</v>
      </c>
      <c r="M87" s="98">
        <f t="shared" si="89"/>
        <v>0</v>
      </c>
      <c r="N87" s="98">
        <f t="shared" ref="N87:P87" si="90">N$20 * N42 * thousand / PowerFactor</f>
        <v>0</v>
      </c>
      <c r="O87" s="98">
        <f t="shared" si="90"/>
        <v>0</v>
      </c>
      <c r="P87" s="98">
        <f t="shared" si="90"/>
        <v>0</v>
      </c>
      <c r="Q87" s="98">
        <f t="shared" ref="Q87:S87" si="91">Q$20 * Q42 * thousand / PowerFactor</f>
        <v>0</v>
      </c>
      <c r="R87" s="98">
        <f t="shared" si="91"/>
        <v>0</v>
      </c>
      <c r="S87" s="98">
        <f t="shared" si="91"/>
        <v>0</v>
      </c>
      <c r="T87" s="98">
        <f t="shared" ref="T87:V87" si="92">T$20 * T42 * thousand / PowerFactor</f>
        <v>0</v>
      </c>
      <c r="U87" s="98">
        <f t="shared" si="92"/>
        <v>0</v>
      </c>
      <c r="V87" s="98">
        <f t="shared" si="92"/>
        <v>0</v>
      </c>
      <c r="W87" s="98">
        <f t="shared" ref="W87:X87" si="93">W$20 * W42 * thousand / PowerFactor</f>
        <v>0</v>
      </c>
      <c r="X87" s="98">
        <f t="shared" si="93"/>
        <v>0</v>
      </c>
      <c r="Y87" s="98">
        <f t="shared" ref="Y87:Z87" si="94">Y$20 * Y42 * thousand / PowerFactor</f>
        <v>0</v>
      </c>
      <c r="Z87" s="98">
        <f t="shared" si="94"/>
        <v>0</v>
      </c>
      <c r="AA87" s="98">
        <f t="shared" ref="AA87:AB87" si="95">AA$20 * AA42 * thousand / PowerFactor</f>
        <v>0</v>
      </c>
      <c r="AB87" s="98">
        <f t="shared" si="95"/>
        <v>0</v>
      </c>
    </row>
    <row r="88" spans="3:28" x14ac:dyDescent="0.25">
      <c r="C88" s="88"/>
      <c r="D88"/>
      <c r="F88" t="s">
        <v>193</v>
      </c>
      <c r="G88" t="s">
        <v>727</v>
      </c>
      <c r="J88" s="98">
        <f t="shared" ref="J88:K88" si="96">J$20 * J43 * thousand / PowerFactor</f>
        <v>0</v>
      </c>
      <c r="K88" s="98">
        <f t="shared" si="96"/>
        <v>0</v>
      </c>
      <c r="L88" s="98">
        <f t="shared" ref="L88:M88" si="97">L$20 * L43 * thousand / PowerFactor</f>
        <v>0</v>
      </c>
      <c r="M88" s="98">
        <f t="shared" si="97"/>
        <v>0</v>
      </c>
      <c r="N88" s="98">
        <f t="shared" ref="N88:P88" si="98">N$20 * N43 * thousand / PowerFactor</f>
        <v>0</v>
      </c>
      <c r="O88" s="98">
        <f t="shared" si="98"/>
        <v>0</v>
      </c>
      <c r="P88" s="98">
        <f t="shared" si="98"/>
        <v>0</v>
      </c>
      <c r="Q88" s="98">
        <f t="shared" ref="Q88:S88" si="99">Q$20 * Q43 * thousand / PowerFactor</f>
        <v>0</v>
      </c>
      <c r="R88" s="98">
        <f t="shared" si="99"/>
        <v>0</v>
      </c>
      <c r="S88" s="98">
        <f t="shared" si="99"/>
        <v>0</v>
      </c>
      <c r="T88" s="98">
        <f t="shared" ref="T88:V88" si="100">T$20 * T43 * thousand / PowerFactor</f>
        <v>0</v>
      </c>
      <c r="U88" s="98">
        <f t="shared" si="100"/>
        <v>0</v>
      </c>
      <c r="V88" s="98">
        <f t="shared" si="100"/>
        <v>0</v>
      </c>
      <c r="W88" s="98">
        <f t="shared" ref="W88:X88" si="101">W$20 * W43 * thousand / PowerFactor</f>
        <v>0</v>
      </c>
      <c r="X88" s="98">
        <f t="shared" si="101"/>
        <v>0</v>
      </c>
      <c r="Y88" s="98">
        <f t="shared" ref="Y88:Z88" si="102">Y$20 * Y43 * thousand / PowerFactor</f>
        <v>0</v>
      </c>
      <c r="Z88" s="98">
        <f t="shared" si="102"/>
        <v>0</v>
      </c>
      <c r="AA88" s="98">
        <f t="shared" ref="AA88:AB88" si="103">AA$20 * AA43 * thousand / PowerFactor</f>
        <v>0</v>
      </c>
      <c r="AB88" s="98">
        <f t="shared" si="103"/>
        <v>0</v>
      </c>
    </row>
    <row r="89" spans="3:28" x14ac:dyDescent="0.25">
      <c r="C89" s="88"/>
      <c r="D89"/>
      <c r="F89" t="s">
        <v>194</v>
      </c>
      <c r="G89" t="s">
        <v>727</v>
      </c>
      <c r="J89" s="98">
        <f t="shared" ref="J89:K89" si="104">J$20 * J44 * thousand / PowerFactor</f>
        <v>0</v>
      </c>
      <c r="K89" s="98">
        <f t="shared" si="104"/>
        <v>0</v>
      </c>
      <c r="L89" s="98">
        <f t="shared" ref="L89:M89" si="105">L$20 * L44 * thousand / PowerFactor</f>
        <v>0</v>
      </c>
      <c r="M89" s="98">
        <f t="shared" si="105"/>
        <v>0</v>
      </c>
      <c r="N89" s="98">
        <f t="shared" ref="N89:P89" si="106">N$20 * N44 * thousand / PowerFactor</f>
        <v>0</v>
      </c>
      <c r="O89" s="98">
        <f t="shared" si="106"/>
        <v>0</v>
      </c>
      <c r="P89" s="98">
        <f t="shared" si="106"/>
        <v>0</v>
      </c>
      <c r="Q89" s="98">
        <f t="shared" ref="Q89:S89" si="107">Q$20 * Q44 * thousand / PowerFactor</f>
        <v>0</v>
      </c>
      <c r="R89" s="98">
        <f t="shared" si="107"/>
        <v>0</v>
      </c>
      <c r="S89" s="98">
        <f t="shared" si="107"/>
        <v>0</v>
      </c>
      <c r="T89" s="98">
        <f t="shared" ref="T89:V89" si="108">T$20 * T44 * thousand / PowerFactor</f>
        <v>0</v>
      </c>
      <c r="U89" s="98">
        <f t="shared" si="108"/>
        <v>0</v>
      </c>
      <c r="V89" s="98">
        <f t="shared" si="108"/>
        <v>0</v>
      </c>
      <c r="W89" s="98">
        <f t="shared" ref="W89:X89" si="109">W$20 * W44 * thousand / PowerFactor</f>
        <v>0</v>
      </c>
      <c r="X89" s="98">
        <f t="shared" si="109"/>
        <v>0</v>
      </c>
      <c r="Y89" s="98">
        <f t="shared" ref="Y89:Z89" si="110">Y$20 * Y44 * thousand / PowerFactor</f>
        <v>0</v>
      </c>
      <c r="Z89" s="98">
        <f t="shared" si="110"/>
        <v>0</v>
      </c>
      <c r="AA89" s="98">
        <f t="shared" ref="AA89:AB89" si="111">AA$20 * AA44 * thousand / PowerFactor</f>
        <v>0</v>
      </c>
      <c r="AB89" s="98">
        <f t="shared" si="111"/>
        <v>0</v>
      </c>
    </row>
    <row r="90" spans="3:28" x14ac:dyDescent="0.25">
      <c r="C90" s="88"/>
      <c r="D90"/>
      <c r="F90" t="s">
        <v>195</v>
      </c>
      <c r="G90" t="s">
        <v>727</v>
      </c>
      <c r="J90" s="98">
        <f t="shared" ref="J90:K90" si="112">J$20 * J45 * thousand / PowerFactor</f>
        <v>0</v>
      </c>
      <c r="K90" s="98">
        <f t="shared" si="112"/>
        <v>0</v>
      </c>
      <c r="L90" s="98">
        <f t="shared" ref="L90:M90" si="113">L$20 * L45 * thousand / PowerFactor</f>
        <v>0</v>
      </c>
      <c r="M90" s="98">
        <f t="shared" si="113"/>
        <v>0</v>
      </c>
      <c r="N90" s="98">
        <f t="shared" ref="N90:P90" si="114">N$20 * N45 * thousand / PowerFactor</f>
        <v>0</v>
      </c>
      <c r="O90" s="98">
        <f t="shared" si="114"/>
        <v>0</v>
      </c>
      <c r="P90" s="98">
        <f t="shared" si="114"/>
        <v>0</v>
      </c>
      <c r="Q90" s="98">
        <f t="shared" ref="Q90:S90" si="115">Q$20 * Q45 * thousand / PowerFactor</f>
        <v>0</v>
      </c>
      <c r="R90" s="98">
        <f t="shared" si="115"/>
        <v>0</v>
      </c>
      <c r="S90" s="98">
        <f t="shared" si="115"/>
        <v>0</v>
      </c>
      <c r="T90" s="98">
        <f t="shared" ref="T90:V90" si="116">T$20 * T45 * thousand / PowerFactor</f>
        <v>0</v>
      </c>
      <c r="U90" s="98">
        <f t="shared" si="116"/>
        <v>0</v>
      </c>
      <c r="V90" s="98">
        <f t="shared" si="116"/>
        <v>0</v>
      </c>
      <c r="W90" s="98">
        <f t="shared" ref="W90:X90" si="117">W$20 * W45 * thousand / PowerFactor</f>
        <v>0</v>
      </c>
      <c r="X90" s="98">
        <f t="shared" si="117"/>
        <v>0</v>
      </c>
      <c r="Y90" s="98">
        <f t="shared" ref="Y90:Z90" si="118">Y$20 * Y45 * thousand / PowerFactor</f>
        <v>0</v>
      </c>
      <c r="Z90" s="98">
        <f t="shared" si="118"/>
        <v>0</v>
      </c>
      <c r="AA90" s="98">
        <f t="shared" ref="AA90:AB90" si="119">AA$20 * AA45 * thousand / PowerFactor</f>
        <v>0</v>
      </c>
      <c r="AB90" s="98">
        <f t="shared" si="119"/>
        <v>0</v>
      </c>
    </row>
    <row r="91" spans="3:28" x14ac:dyDescent="0.25">
      <c r="C91" s="88"/>
      <c r="D91"/>
      <c r="F91" t="s">
        <v>196</v>
      </c>
      <c r="G91" t="s">
        <v>727</v>
      </c>
      <c r="J91" s="98">
        <f t="shared" ref="J91:K91" si="120">J$20 * J46 * thousand / PowerFactor</f>
        <v>0</v>
      </c>
      <c r="K91" s="98">
        <f t="shared" si="120"/>
        <v>0</v>
      </c>
      <c r="L91" s="98">
        <f t="shared" ref="L91:M91" si="121">L$20 * L46 * thousand / PowerFactor</f>
        <v>0</v>
      </c>
      <c r="M91" s="98">
        <f t="shared" si="121"/>
        <v>0</v>
      </c>
      <c r="N91" s="98">
        <f t="shared" ref="N91:P91" si="122">N$20 * N46 * thousand / PowerFactor</f>
        <v>0</v>
      </c>
      <c r="O91" s="98">
        <f t="shared" si="122"/>
        <v>0</v>
      </c>
      <c r="P91" s="98">
        <f t="shared" si="122"/>
        <v>0</v>
      </c>
      <c r="Q91" s="98">
        <f t="shared" ref="Q91:S91" si="123">Q$20 * Q46 * thousand / PowerFactor</f>
        <v>0</v>
      </c>
      <c r="R91" s="98">
        <f t="shared" si="123"/>
        <v>0</v>
      </c>
      <c r="S91" s="98">
        <f t="shared" si="123"/>
        <v>0</v>
      </c>
      <c r="T91" s="98">
        <f t="shared" ref="T91:V91" si="124">T$20 * T46 * thousand / PowerFactor</f>
        <v>0</v>
      </c>
      <c r="U91" s="98">
        <f t="shared" si="124"/>
        <v>0</v>
      </c>
      <c r="V91" s="98">
        <f t="shared" si="124"/>
        <v>0</v>
      </c>
      <c r="W91" s="98">
        <f t="shared" ref="W91:X91" si="125">W$20 * W46 * thousand / PowerFactor</f>
        <v>0</v>
      </c>
      <c r="X91" s="98">
        <f t="shared" si="125"/>
        <v>0</v>
      </c>
      <c r="Y91" s="98">
        <f t="shared" ref="Y91:Z91" si="126">Y$20 * Y46 * thousand / PowerFactor</f>
        <v>0</v>
      </c>
      <c r="Z91" s="98">
        <f t="shared" si="126"/>
        <v>0</v>
      </c>
      <c r="AA91" s="98">
        <f t="shared" ref="AA91:AB91" si="127">AA$20 * AA46 * thousand / PowerFactor</f>
        <v>0</v>
      </c>
      <c r="AB91" s="98">
        <f t="shared" si="127"/>
        <v>0</v>
      </c>
    </row>
    <row r="92" spans="3:28" x14ac:dyDescent="0.25">
      <c r="C92" s="88"/>
      <c r="D92"/>
      <c r="F92" t="s">
        <v>197</v>
      </c>
      <c r="G92" t="s">
        <v>727</v>
      </c>
      <c r="J92" s="98">
        <f t="shared" ref="J92:K92" si="128">J$20 * J47 * thousand / PowerFactor</f>
        <v>0</v>
      </c>
      <c r="K92" s="98">
        <f t="shared" si="128"/>
        <v>0</v>
      </c>
      <c r="L92" s="98">
        <f t="shared" ref="L92:M92" si="129">L$20 * L47 * thousand / PowerFactor</f>
        <v>0</v>
      </c>
      <c r="M92" s="98">
        <f t="shared" si="129"/>
        <v>0</v>
      </c>
      <c r="N92" s="98">
        <f t="shared" ref="N92:P92" si="130">N$20 * N47 * thousand / PowerFactor</f>
        <v>0</v>
      </c>
      <c r="O92" s="98">
        <f t="shared" si="130"/>
        <v>0</v>
      </c>
      <c r="P92" s="98">
        <f t="shared" si="130"/>
        <v>0</v>
      </c>
      <c r="Q92" s="98">
        <f t="shared" ref="Q92:S92" si="131">Q$20 * Q47 * thousand / PowerFactor</f>
        <v>0</v>
      </c>
      <c r="R92" s="98">
        <f t="shared" si="131"/>
        <v>0</v>
      </c>
      <c r="S92" s="98">
        <f t="shared" si="131"/>
        <v>0</v>
      </c>
      <c r="T92" s="98">
        <f t="shared" ref="T92:V92" si="132">T$20 * T47 * thousand / PowerFactor</f>
        <v>0</v>
      </c>
      <c r="U92" s="98">
        <f t="shared" si="132"/>
        <v>0</v>
      </c>
      <c r="V92" s="98">
        <f t="shared" si="132"/>
        <v>0</v>
      </c>
      <c r="W92" s="98">
        <f t="shared" ref="W92:X92" si="133">W$20 * W47 * thousand / PowerFactor</f>
        <v>0</v>
      </c>
      <c r="X92" s="98">
        <f t="shared" si="133"/>
        <v>0</v>
      </c>
      <c r="Y92" s="98">
        <f t="shared" ref="Y92:Z92" si="134">Y$20 * Y47 * thousand / PowerFactor</f>
        <v>0</v>
      </c>
      <c r="Z92" s="98">
        <f t="shared" si="134"/>
        <v>0</v>
      </c>
      <c r="AA92" s="98">
        <f t="shared" ref="AA92:AB92" si="135">AA$20 * AA47 * thousand / PowerFactor</f>
        <v>0</v>
      </c>
      <c r="AB92" s="98">
        <f t="shared" si="135"/>
        <v>0</v>
      </c>
    </row>
    <row r="93" spans="3:28" x14ac:dyDescent="0.25">
      <c r="C93" s="88"/>
      <c r="D93"/>
      <c r="F93" t="s">
        <v>198</v>
      </c>
      <c r="G93" t="s">
        <v>727</v>
      </c>
      <c r="J93" s="98">
        <f t="shared" ref="J93:K93" si="136">J$20 * J48 * thousand / PowerFactor</f>
        <v>1154885.6105349143</v>
      </c>
      <c r="K93" s="98">
        <f t="shared" si="136"/>
        <v>0</v>
      </c>
      <c r="L93" s="98">
        <f t="shared" ref="L93:M93" si="137">L$20 * L48 * thousand / PowerFactor</f>
        <v>469910.41193195025</v>
      </c>
      <c r="M93" s="98">
        <f t="shared" si="137"/>
        <v>0</v>
      </c>
      <c r="N93" s="98">
        <f t="shared" ref="N93:P93" si="138">N$20 * N48 * thousand / PowerFactor</f>
        <v>0</v>
      </c>
      <c r="O93" s="98">
        <f t="shared" si="138"/>
        <v>0</v>
      </c>
      <c r="P93" s="98">
        <f t="shared" si="138"/>
        <v>0</v>
      </c>
      <c r="Q93" s="98">
        <f t="shared" ref="Q93:S93" si="139">Q$20 * Q48 * thousand / PowerFactor</f>
        <v>0</v>
      </c>
      <c r="R93" s="98">
        <f t="shared" si="139"/>
        <v>0</v>
      </c>
      <c r="S93" s="98">
        <f t="shared" si="139"/>
        <v>0</v>
      </c>
      <c r="T93" s="98">
        <f t="shared" ref="T93:V93" si="140">T$20 * T48 * thousand / PowerFactor</f>
        <v>0</v>
      </c>
      <c r="U93" s="98">
        <f t="shared" si="140"/>
        <v>0</v>
      </c>
      <c r="V93" s="98">
        <f t="shared" si="140"/>
        <v>0</v>
      </c>
      <c r="W93" s="98">
        <f t="shared" ref="W93:X93" si="141">W$20 * W48 * thousand / PowerFactor</f>
        <v>0</v>
      </c>
      <c r="X93" s="98">
        <f t="shared" si="141"/>
        <v>0</v>
      </c>
      <c r="Y93" s="98">
        <f t="shared" ref="Y93:Z93" si="142">Y$20 * Y48 * thousand / PowerFactor</f>
        <v>0</v>
      </c>
      <c r="Z93" s="98">
        <f t="shared" si="142"/>
        <v>0</v>
      </c>
      <c r="AA93" s="98">
        <f t="shared" ref="AA93:AB93" si="143">AA$20 * AA48 * thousand / PowerFactor</f>
        <v>0</v>
      </c>
      <c r="AB93" s="98">
        <f t="shared" si="143"/>
        <v>0</v>
      </c>
    </row>
    <row r="94" spans="3:28" x14ac:dyDescent="0.25">
      <c r="C94" s="88"/>
      <c r="D94"/>
      <c r="F94" t="s">
        <v>375</v>
      </c>
      <c r="G94" t="s">
        <v>727</v>
      </c>
      <c r="J94" s="79"/>
      <c r="K94" s="79"/>
      <c r="L94" s="79"/>
      <c r="M94" s="79"/>
      <c r="N94" s="79"/>
      <c r="O94" s="79"/>
      <c r="P94" s="79"/>
      <c r="Q94" s="79"/>
      <c r="R94" s="79"/>
      <c r="S94" s="79"/>
      <c r="T94" s="79"/>
      <c r="U94" s="79"/>
      <c r="V94" s="79"/>
      <c r="W94" s="79"/>
      <c r="X94" s="79"/>
      <c r="Y94" s="79"/>
      <c r="Z94" s="79"/>
      <c r="AA94" s="79"/>
      <c r="AB94" s="79"/>
    </row>
    <row r="95" spans="3:28" x14ac:dyDescent="0.25">
      <c r="C95" s="88"/>
      <c r="D95"/>
      <c r="F95" s="37" t="s">
        <v>376</v>
      </c>
      <c r="G95" s="37" t="s">
        <v>727</v>
      </c>
      <c r="H95" s="37"/>
      <c r="I95" s="37"/>
      <c r="J95" s="81"/>
      <c r="K95" s="81"/>
      <c r="L95" s="81"/>
      <c r="M95" s="81"/>
      <c r="N95" s="81"/>
      <c r="O95" s="81"/>
      <c r="P95" s="81"/>
      <c r="Q95" s="81"/>
      <c r="R95" s="81"/>
      <c r="S95" s="81"/>
      <c r="T95" s="81"/>
      <c r="U95" s="81"/>
      <c r="V95" s="81"/>
      <c r="W95" s="81"/>
      <c r="X95" s="81"/>
      <c r="Y95" s="81"/>
      <c r="Z95" s="81"/>
      <c r="AA95" s="81"/>
      <c r="AB95" s="81"/>
    </row>
    <row r="96" spans="3:28" x14ac:dyDescent="0.25">
      <c r="C96" s="88"/>
      <c r="J96" s="89"/>
      <c r="K96" s="89"/>
      <c r="L96" s="89"/>
      <c r="M96" s="89"/>
      <c r="N96" s="89"/>
      <c r="O96" s="89"/>
      <c r="P96" s="89"/>
      <c r="Q96" s="89"/>
      <c r="R96" s="89"/>
      <c r="S96" s="89"/>
      <c r="T96" s="89"/>
      <c r="U96" s="89"/>
      <c r="V96" s="89"/>
      <c r="W96" s="89"/>
      <c r="X96" s="89"/>
      <c r="Y96" s="89"/>
      <c r="Z96" s="89"/>
      <c r="AA96" s="89"/>
      <c r="AB96" s="89"/>
    </row>
    <row r="97" spans="3:30" x14ac:dyDescent="0.25">
      <c r="C97" s="31" t="str">
        <f ca="1">INDEX('Version control'!$H$34:$H$57,MATCH($A$1,'Version control'!$F$34:$F$57,0),1)&amp;"-F: Revenue allocated to fixed charges, by aggregation group"</f>
        <v>Section 114-F: Revenue allocated to fixed charges, by aggregation group</v>
      </c>
      <c r="D97" s="31"/>
      <c r="E97" s="31"/>
      <c r="F97" s="31"/>
      <c r="G97" s="31"/>
      <c r="H97" s="31"/>
      <c r="I97" s="31"/>
      <c r="J97" s="90"/>
      <c r="K97" s="90"/>
      <c r="L97" s="90"/>
      <c r="M97" s="90"/>
      <c r="N97" s="90"/>
      <c r="O97" s="90"/>
      <c r="P97" s="90"/>
      <c r="Q97" s="90"/>
      <c r="R97" s="90"/>
      <c r="S97" s="90"/>
      <c r="T97" s="90"/>
      <c r="U97" s="90"/>
      <c r="V97" s="90"/>
      <c r="W97" s="90"/>
      <c r="X97" s="90"/>
      <c r="Y97" s="90"/>
      <c r="Z97" s="90"/>
      <c r="AA97" s="90"/>
      <c r="AB97" s="90"/>
      <c r="AC97" s="31"/>
      <c r="AD97" s="31"/>
    </row>
    <row r="98" spans="3:30" x14ac:dyDescent="0.25">
      <c r="D98"/>
      <c r="E98" s="32"/>
      <c r="I98" t="s">
        <v>153</v>
      </c>
      <c r="J98" s="89"/>
      <c r="K98" s="89"/>
      <c r="L98" s="89"/>
      <c r="M98" s="89"/>
      <c r="N98" s="89"/>
      <c r="O98" s="89"/>
      <c r="P98" s="89"/>
      <c r="Q98" s="89"/>
      <c r="R98" s="89"/>
      <c r="S98" s="89"/>
      <c r="T98" s="89"/>
      <c r="U98" s="89"/>
      <c r="V98" s="89"/>
      <c r="W98" s="89"/>
      <c r="X98" s="89"/>
      <c r="Y98" s="89"/>
      <c r="Z98" s="89"/>
      <c r="AA98" s="89"/>
      <c r="AB98" s="89"/>
      <c r="AD98" t="s">
        <v>725</v>
      </c>
    </row>
    <row r="99" spans="3:30" x14ac:dyDescent="0.25">
      <c r="C99" s="88"/>
      <c r="D99"/>
      <c r="E99" s="32" t="s">
        <v>620</v>
      </c>
      <c r="J99" s="89"/>
      <c r="K99" s="89"/>
      <c r="L99" s="89"/>
      <c r="M99" s="89"/>
      <c r="N99" s="89"/>
      <c r="O99" s="89"/>
      <c r="P99" s="89"/>
      <c r="Q99" s="89"/>
      <c r="R99" s="89"/>
      <c r="S99" s="89"/>
      <c r="T99" s="89"/>
      <c r="U99" s="89"/>
      <c r="V99" s="89"/>
      <c r="W99" s="89"/>
      <c r="X99" s="89"/>
      <c r="Y99" s="89"/>
      <c r="Z99" s="89"/>
      <c r="AA99" s="89"/>
      <c r="AB99" s="89"/>
    </row>
    <row r="100" spans="3:30" x14ac:dyDescent="0.25">
      <c r="C100" s="88"/>
      <c r="D100"/>
      <c r="E100" s="29"/>
      <c r="F100" s="23" t="s">
        <v>188</v>
      </c>
      <c r="G100" s="23" t="s">
        <v>727</v>
      </c>
      <c r="H100" s="23"/>
      <c r="I100" s="23"/>
      <c r="J100" s="83"/>
      <c r="K100" s="83"/>
      <c r="L100" s="83"/>
      <c r="M100" s="83"/>
      <c r="N100" s="83"/>
      <c r="O100" s="83"/>
      <c r="P100" s="83"/>
      <c r="Q100" s="83"/>
      <c r="R100" s="83"/>
      <c r="S100" s="83"/>
      <c r="T100" s="83"/>
      <c r="U100" s="83"/>
      <c r="V100" s="83"/>
      <c r="W100" s="83"/>
      <c r="X100" s="83"/>
      <c r="Y100" s="83"/>
      <c r="Z100" s="83"/>
      <c r="AA100" s="83"/>
      <c r="AB100" s="83"/>
    </row>
    <row r="101" spans="3:30" x14ac:dyDescent="0.25">
      <c r="C101" s="88"/>
      <c r="D101"/>
      <c r="E101" s="29"/>
      <c r="F101" t="s">
        <v>190</v>
      </c>
      <c r="G101" t="s">
        <v>727</v>
      </c>
      <c r="J101" s="79"/>
      <c r="K101" s="79"/>
      <c r="L101" s="79"/>
      <c r="M101" s="79"/>
      <c r="N101" s="79"/>
      <c r="O101" s="79"/>
      <c r="P101" s="79"/>
      <c r="Q101" s="79"/>
      <c r="R101" s="79"/>
      <c r="S101" s="79"/>
      <c r="T101" s="79"/>
      <c r="U101" s="79"/>
      <c r="V101" s="79"/>
      <c r="W101" s="79"/>
      <c r="X101" s="79"/>
      <c r="Y101" s="79"/>
      <c r="Z101" s="79"/>
      <c r="AA101" s="79"/>
      <c r="AB101" s="79"/>
    </row>
    <row r="102" spans="3:30" x14ac:dyDescent="0.25">
      <c r="C102" s="88"/>
      <c r="D102"/>
      <c r="E102" s="29"/>
      <c r="F102" t="s">
        <v>191</v>
      </c>
      <c r="G102" t="s">
        <v>727</v>
      </c>
      <c r="J102" s="98">
        <f t="shared" ref="J102:AB102" si="144">SUMIFS($J72:$AB72,$J$63:$AB$63,J$63)</f>
        <v>0</v>
      </c>
      <c r="K102" s="98">
        <f t="shared" si="144"/>
        <v>0</v>
      </c>
      <c r="L102" s="98">
        <f t="shared" si="144"/>
        <v>0</v>
      </c>
      <c r="M102" s="98">
        <f t="shared" si="144"/>
        <v>0</v>
      </c>
      <c r="N102" s="98">
        <f t="shared" si="144"/>
        <v>0</v>
      </c>
      <c r="O102" s="98">
        <f t="shared" si="144"/>
        <v>0</v>
      </c>
      <c r="P102" s="98">
        <f t="shared" si="144"/>
        <v>0</v>
      </c>
      <c r="Q102" s="98">
        <f t="shared" ref="Q102:S102" si="145">SUMIFS($J72:$AB72,$J$63:$AB$63,Q$63)</f>
        <v>0</v>
      </c>
      <c r="R102" s="98">
        <f t="shared" si="145"/>
        <v>0</v>
      </c>
      <c r="S102" s="98">
        <f t="shared" si="145"/>
        <v>0</v>
      </c>
      <c r="T102" s="98">
        <f t="shared" si="144"/>
        <v>0</v>
      </c>
      <c r="U102" s="98">
        <f t="shared" si="144"/>
        <v>0</v>
      </c>
      <c r="V102" s="98">
        <f t="shared" si="144"/>
        <v>0</v>
      </c>
      <c r="W102" s="98">
        <f t="shared" si="144"/>
        <v>0</v>
      </c>
      <c r="X102" s="98">
        <f t="shared" si="144"/>
        <v>0</v>
      </c>
      <c r="Y102" s="98">
        <f t="shared" si="144"/>
        <v>0</v>
      </c>
      <c r="Z102" s="98">
        <f t="shared" si="144"/>
        <v>0</v>
      </c>
      <c r="AA102" s="98">
        <f t="shared" si="144"/>
        <v>0</v>
      </c>
      <c r="AB102" s="98">
        <f t="shared" si="144"/>
        <v>0</v>
      </c>
    </row>
    <row r="103" spans="3:30" x14ac:dyDescent="0.25">
      <c r="C103" s="88"/>
      <c r="D103"/>
      <c r="E103" s="29"/>
      <c r="F103" t="s">
        <v>192</v>
      </c>
      <c r="G103" t="s">
        <v>727</v>
      </c>
      <c r="J103" s="98">
        <f t="shared" ref="J103:AB103" si="146">SUMIFS($J73:$AB73,$J$63:$AB$63,J$63)</f>
        <v>0</v>
      </c>
      <c r="K103" s="98">
        <f t="shared" si="146"/>
        <v>0</v>
      </c>
      <c r="L103" s="98">
        <f t="shared" si="146"/>
        <v>0</v>
      </c>
      <c r="M103" s="98">
        <f t="shared" si="146"/>
        <v>0</v>
      </c>
      <c r="N103" s="98">
        <f t="shared" si="146"/>
        <v>0</v>
      </c>
      <c r="O103" s="98">
        <f t="shared" si="146"/>
        <v>0</v>
      </c>
      <c r="P103" s="98">
        <f t="shared" si="146"/>
        <v>0</v>
      </c>
      <c r="Q103" s="98">
        <f t="shared" ref="Q103:S103" si="147">SUMIFS($J73:$AB73,$J$63:$AB$63,Q$63)</f>
        <v>0</v>
      </c>
      <c r="R103" s="98">
        <f t="shared" si="147"/>
        <v>0</v>
      </c>
      <c r="S103" s="98">
        <f t="shared" si="147"/>
        <v>0</v>
      </c>
      <c r="T103" s="98">
        <f t="shared" si="146"/>
        <v>0</v>
      </c>
      <c r="U103" s="98">
        <f t="shared" si="146"/>
        <v>0</v>
      </c>
      <c r="V103" s="98">
        <f t="shared" si="146"/>
        <v>0</v>
      </c>
      <c r="W103" s="98">
        <f t="shared" si="146"/>
        <v>0</v>
      </c>
      <c r="X103" s="98">
        <f t="shared" si="146"/>
        <v>0</v>
      </c>
      <c r="Y103" s="98">
        <f t="shared" si="146"/>
        <v>0</v>
      </c>
      <c r="Z103" s="98">
        <f t="shared" si="146"/>
        <v>0</v>
      </c>
      <c r="AA103" s="98">
        <f t="shared" si="146"/>
        <v>0</v>
      </c>
      <c r="AB103" s="98">
        <f t="shared" si="146"/>
        <v>0</v>
      </c>
    </row>
    <row r="104" spans="3:30" x14ac:dyDescent="0.25">
      <c r="C104" s="88"/>
      <c r="D104"/>
      <c r="E104" s="29"/>
      <c r="F104" t="s">
        <v>193</v>
      </c>
      <c r="G104" t="s">
        <v>727</v>
      </c>
      <c r="J104" s="98">
        <f t="shared" ref="J104:AB104" si="148">SUMIFS($J74:$AB74,$J$63:$AB$63,J$63)</f>
        <v>0</v>
      </c>
      <c r="K104" s="98">
        <f t="shared" si="148"/>
        <v>0</v>
      </c>
      <c r="L104" s="98">
        <f t="shared" si="148"/>
        <v>0</v>
      </c>
      <c r="M104" s="98">
        <f t="shared" si="148"/>
        <v>0</v>
      </c>
      <c r="N104" s="98">
        <f t="shared" si="148"/>
        <v>0</v>
      </c>
      <c r="O104" s="98">
        <f t="shared" si="148"/>
        <v>0</v>
      </c>
      <c r="P104" s="98">
        <f t="shared" si="148"/>
        <v>0</v>
      </c>
      <c r="Q104" s="98">
        <f t="shared" ref="Q104:S104" si="149">SUMIFS($J74:$AB74,$J$63:$AB$63,Q$63)</f>
        <v>0</v>
      </c>
      <c r="R104" s="98">
        <f t="shared" si="149"/>
        <v>0</v>
      </c>
      <c r="S104" s="98">
        <f t="shared" si="149"/>
        <v>0</v>
      </c>
      <c r="T104" s="98">
        <f t="shared" si="148"/>
        <v>0</v>
      </c>
      <c r="U104" s="98">
        <f t="shared" si="148"/>
        <v>0</v>
      </c>
      <c r="V104" s="98">
        <f t="shared" si="148"/>
        <v>0</v>
      </c>
      <c r="W104" s="98">
        <f t="shared" si="148"/>
        <v>0</v>
      </c>
      <c r="X104" s="98">
        <f t="shared" si="148"/>
        <v>0</v>
      </c>
      <c r="Y104" s="98">
        <f t="shared" si="148"/>
        <v>0</v>
      </c>
      <c r="Z104" s="98">
        <f t="shared" si="148"/>
        <v>0</v>
      </c>
      <c r="AA104" s="98">
        <f t="shared" si="148"/>
        <v>0</v>
      </c>
      <c r="AB104" s="98">
        <f t="shared" si="148"/>
        <v>0</v>
      </c>
    </row>
    <row r="105" spans="3:30" x14ac:dyDescent="0.25">
      <c r="C105" s="88"/>
      <c r="D105"/>
      <c r="E105" s="29"/>
      <c r="F105" t="s">
        <v>194</v>
      </c>
      <c r="G105" t="s">
        <v>727</v>
      </c>
      <c r="J105" s="98">
        <f t="shared" ref="J105:AB105" si="150">SUMIFS($J75:$AB75,$J$63:$AB$63,J$63)</f>
        <v>0</v>
      </c>
      <c r="K105" s="98">
        <f t="shared" si="150"/>
        <v>0</v>
      </c>
      <c r="L105" s="98">
        <f t="shared" si="150"/>
        <v>0</v>
      </c>
      <c r="M105" s="98">
        <f t="shared" si="150"/>
        <v>0</v>
      </c>
      <c r="N105" s="98">
        <f t="shared" si="150"/>
        <v>0</v>
      </c>
      <c r="O105" s="98">
        <f t="shared" si="150"/>
        <v>0</v>
      </c>
      <c r="P105" s="98">
        <f t="shared" si="150"/>
        <v>0</v>
      </c>
      <c r="Q105" s="98">
        <f t="shared" ref="Q105:S105" si="151">SUMIFS($J75:$AB75,$J$63:$AB$63,Q$63)</f>
        <v>0</v>
      </c>
      <c r="R105" s="98">
        <f t="shared" si="151"/>
        <v>0</v>
      </c>
      <c r="S105" s="98">
        <f t="shared" si="151"/>
        <v>0</v>
      </c>
      <c r="T105" s="98">
        <f t="shared" si="150"/>
        <v>0</v>
      </c>
      <c r="U105" s="98">
        <f t="shared" si="150"/>
        <v>0</v>
      </c>
      <c r="V105" s="98">
        <f t="shared" si="150"/>
        <v>0</v>
      </c>
      <c r="W105" s="98">
        <f t="shared" si="150"/>
        <v>0</v>
      </c>
      <c r="X105" s="98">
        <f t="shared" si="150"/>
        <v>0</v>
      </c>
      <c r="Y105" s="98">
        <f t="shared" si="150"/>
        <v>0</v>
      </c>
      <c r="Z105" s="98">
        <f t="shared" si="150"/>
        <v>0</v>
      </c>
      <c r="AA105" s="98">
        <f t="shared" si="150"/>
        <v>0</v>
      </c>
      <c r="AB105" s="98">
        <f t="shared" si="150"/>
        <v>0</v>
      </c>
    </row>
    <row r="106" spans="3:30" x14ac:dyDescent="0.25">
      <c r="C106" s="88"/>
      <c r="D106"/>
      <c r="E106" s="29"/>
      <c r="F106" t="s">
        <v>195</v>
      </c>
      <c r="G106" t="s">
        <v>727</v>
      </c>
      <c r="J106" s="98">
        <f t="shared" ref="J106:AB106" si="152">SUMIFS($J76:$AB76,$J$63:$AB$63,J$63)</f>
        <v>0</v>
      </c>
      <c r="K106" s="98">
        <f t="shared" si="152"/>
        <v>0</v>
      </c>
      <c r="L106" s="98">
        <f t="shared" si="152"/>
        <v>0</v>
      </c>
      <c r="M106" s="98">
        <f t="shared" si="152"/>
        <v>0</v>
      </c>
      <c r="N106" s="98">
        <f t="shared" si="152"/>
        <v>0</v>
      </c>
      <c r="O106" s="98">
        <f t="shared" si="152"/>
        <v>0</v>
      </c>
      <c r="P106" s="98">
        <f t="shared" si="152"/>
        <v>0</v>
      </c>
      <c r="Q106" s="98">
        <f t="shared" ref="Q106:S106" si="153">SUMIFS($J76:$AB76,$J$63:$AB$63,Q$63)</f>
        <v>0</v>
      </c>
      <c r="R106" s="98">
        <f t="shared" si="153"/>
        <v>0</v>
      </c>
      <c r="S106" s="98">
        <f t="shared" si="153"/>
        <v>0</v>
      </c>
      <c r="T106" s="98">
        <f t="shared" si="152"/>
        <v>0</v>
      </c>
      <c r="U106" s="98">
        <f t="shared" si="152"/>
        <v>0</v>
      </c>
      <c r="V106" s="98">
        <f t="shared" si="152"/>
        <v>0</v>
      </c>
      <c r="W106" s="98">
        <f t="shared" si="152"/>
        <v>0</v>
      </c>
      <c r="X106" s="98">
        <f t="shared" si="152"/>
        <v>0</v>
      </c>
      <c r="Y106" s="98">
        <f t="shared" si="152"/>
        <v>0</v>
      </c>
      <c r="Z106" s="98">
        <f t="shared" si="152"/>
        <v>0</v>
      </c>
      <c r="AA106" s="98">
        <f t="shared" si="152"/>
        <v>0</v>
      </c>
      <c r="AB106" s="98">
        <f t="shared" si="152"/>
        <v>0</v>
      </c>
    </row>
    <row r="107" spans="3:30" x14ac:dyDescent="0.25">
      <c r="C107" s="88"/>
      <c r="D107"/>
      <c r="E107" s="29"/>
      <c r="F107" t="s">
        <v>196</v>
      </c>
      <c r="G107" t="s">
        <v>727</v>
      </c>
      <c r="J107" s="98">
        <f t="shared" ref="J107:AB107" si="154">SUMIFS($J77:$AB77,$J$63:$AB$63,J$63)</f>
        <v>0</v>
      </c>
      <c r="K107" s="98">
        <f t="shared" si="154"/>
        <v>0</v>
      </c>
      <c r="L107" s="98">
        <f t="shared" si="154"/>
        <v>0</v>
      </c>
      <c r="M107" s="98">
        <f t="shared" si="154"/>
        <v>0</v>
      </c>
      <c r="N107" s="98">
        <f t="shared" si="154"/>
        <v>0</v>
      </c>
      <c r="O107" s="98">
        <f t="shared" si="154"/>
        <v>0</v>
      </c>
      <c r="P107" s="98">
        <f t="shared" si="154"/>
        <v>0</v>
      </c>
      <c r="Q107" s="98">
        <f t="shared" ref="Q107:S107" si="155">SUMIFS($J77:$AB77,$J$63:$AB$63,Q$63)</f>
        <v>0</v>
      </c>
      <c r="R107" s="98">
        <f t="shared" si="155"/>
        <v>0</v>
      </c>
      <c r="S107" s="98">
        <f t="shared" si="155"/>
        <v>0</v>
      </c>
      <c r="T107" s="98">
        <f t="shared" si="154"/>
        <v>0</v>
      </c>
      <c r="U107" s="98">
        <f t="shared" si="154"/>
        <v>0</v>
      </c>
      <c r="V107" s="98">
        <f t="shared" si="154"/>
        <v>0</v>
      </c>
      <c r="W107" s="98">
        <f t="shared" si="154"/>
        <v>0</v>
      </c>
      <c r="X107" s="98">
        <f t="shared" si="154"/>
        <v>0</v>
      </c>
      <c r="Y107" s="98">
        <f t="shared" si="154"/>
        <v>0</v>
      </c>
      <c r="Z107" s="98">
        <f t="shared" si="154"/>
        <v>0</v>
      </c>
      <c r="AA107" s="98">
        <f t="shared" si="154"/>
        <v>0</v>
      </c>
      <c r="AB107" s="98">
        <f t="shared" si="154"/>
        <v>0</v>
      </c>
    </row>
    <row r="108" spans="3:30" x14ac:dyDescent="0.25">
      <c r="C108" s="88"/>
      <c r="D108"/>
      <c r="E108" s="29"/>
      <c r="F108" t="s">
        <v>197</v>
      </c>
      <c r="G108" t="s">
        <v>727</v>
      </c>
      <c r="J108" s="98">
        <f t="shared" ref="J108:AB108" si="156">SUMIFS($J78:$AB78,$J$63:$AB$63,J$63)</f>
        <v>0</v>
      </c>
      <c r="K108" s="98">
        <f t="shared" si="156"/>
        <v>0</v>
      </c>
      <c r="L108" s="98">
        <f t="shared" si="156"/>
        <v>0</v>
      </c>
      <c r="M108" s="98">
        <f t="shared" si="156"/>
        <v>0</v>
      </c>
      <c r="N108" s="98">
        <f t="shared" si="156"/>
        <v>0</v>
      </c>
      <c r="O108" s="98">
        <f t="shared" si="156"/>
        <v>0</v>
      </c>
      <c r="P108" s="98">
        <f t="shared" si="156"/>
        <v>0</v>
      </c>
      <c r="Q108" s="98">
        <f t="shared" ref="Q108:S108" si="157">SUMIFS($J78:$AB78,$J$63:$AB$63,Q$63)</f>
        <v>0</v>
      </c>
      <c r="R108" s="98">
        <f t="shared" si="157"/>
        <v>0</v>
      </c>
      <c r="S108" s="98">
        <f t="shared" si="157"/>
        <v>0</v>
      </c>
      <c r="T108" s="98">
        <f t="shared" si="156"/>
        <v>0</v>
      </c>
      <c r="U108" s="98">
        <f t="shared" si="156"/>
        <v>0</v>
      </c>
      <c r="V108" s="98">
        <f t="shared" si="156"/>
        <v>0</v>
      </c>
      <c r="W108" s="98">
        <f t="shared" si="156"/>
        <v>0</v>
      </c>
      <c r="X108" s="98">
        <f t="shared" si="156"/>
        <v>0</v>
      </c>
      <c r="Y108" s="98">
        <f t="shared" si="156"/>
        <v>0</v>
      </c>
      <c r="Z108" s="98">
        <f t="shared" si="156"/>
        <v>0</v>
      </c>
      <c r="AA108" s="98">
        <f t="shared" si="156"/>
        <v>0</v>
      </c>
      <c r="AB108" s="98">
        <f t="shared" si="156"/>
        <v>0</v>
      </c>
    </row>
    <row r="109" spans="3:30" x14ac:dyDescent="0.25">
      <c r="C109" s="88"/>
      <c r="D109"/>
      <c r="E109" s="29"/>
      <c r="F109" t="s">
        <v>198</v>
      </c>
      <c r="G109" t="s">
        <v>727</v>
      </c>
      <c r="J109" s="98">
        <f t="shared" ref="J109:AB109" si="158">SUMIFS($J79:$AB79,$J$63:$AB$63,J$63)</f>
        <v>167707.49371618067</v>
      </c>
      <c r="K109" s="98">
        <f t="shared" si="158"/>
        <v>0</v>
      </c>
      <c r="L109" s="98">
        <f t="shared" si="158"/>
        <v>167707.49371618067</v>
      </c>
      <c r="M109" s="98">
        <f t="shared" si="158"/>
        <v>0</v>
      </c>
      <c r="N109" s="98">
        <f t="shared" si="158"/>
        <v>0</v>
      </c>
      <c r="O109" s="98">
        <f t="shared" si="158"/>
        <v>0</v>
      </c>
      <c r="P109" s="98">
        <f t="shared" si="158"/>
        <v>0</v>
      </c>
      <c r="Q109" s="98">
        <f t="shared" ref="Q109:S109" si="159">SUMIFS($J79:$AB79,$J$63:$AB$63,Q$63)</f>
        <v>0</v>
      </c>
      <c r="R109" s="98">
        <f t="shared" si="159"/>
        <v>0</v>
      </c>
      <c r="S109" s="98">
        <f t="shared" si="159"/>
        <v>0</v>
      </c>
      <c r="T109" s="98">
        <f t="shared" si="158"/>
        <v>0</v>
      </c>
      <c r="U109" s="98">
        <f t="shared" si="158"/>
        <v>0</v>
      </c>
      <c r="V109" s="98">
        <f t="shared" si="158"/>
        <v>0</v>
      </c>
      <c r="W109" s="98">
        <f t="shared" si="158"/>
        <v>0</v>
      </c>
      <c r="X109" s="98">
        <f t="shared" si="158"/>
        <v>0</v>
      </c>
      <c r="Y109" s="98">
        <f t="shared" si="158"/>
        <v>0</v>
      </c>
      <c r="Z109" s="98">
        <f t="shared" si="158"/>
        <v>0</v>
      </c>
      <c r="AA109" s="98">
        <f t="shared" si="158"/>
        <v>0</v>
      </c>
      <c r="AB109" s="98">
        <f t="shared" si="158"/>
        <v>0</v>
      </c>
    </row>
    <row r="110" spans="3:30" x14ac:dyDescent="0.25">
      <c r="C110" s="88"/>
      <c r="D110"/>
      <c r="E110" s="29"/>
      <c r="F110" t="s">
        <v>375</v>
      </c>
      <c r="G110" t="s">
        <v>727</v>
      </c>
      <c r="J110" s="79"/>
      <c r="K110" s="79"/>
      <c r="L110" s="79"/>
      <c r="M110" s="79"/>
      <c r="N110" s="79"/>
      <c r="O110" s="79"/>
      <c r="P110" s="79"/>
      <c r="Q110" s="79"/>
      <c r="R110" s="79"/>
      <c r="S110" s="79"/>
      <c r="T110" s="79"/>
      <c r="U110" s="79"/>
      <c r="V110" s="79"/>
      <c r="W110" s="79"/>
      <c r="X110" s="79"/>
      <c r="Y110" s="79"/>
      <c r="Z110" s="79"/>
      <c r="AA110" s="79"/>
      <c r="AB110" s="79"/>
    </row>
    <row r="111" spans="3:30" x14ac:dyDescent="0.25">
      <c r="C111" s="88"/>
      <c r="D111"/>
      <c r="E111" s="29"/>
      <c r="F111" s="37" t="s">
        <v>376</v>
      </c>
      <c r="G111" s="37" t="s">
        <v>727</v>
      </c>
      <c r="H111" s="37"/>
      <c r="I111" s="37"/>
      <c r="J111" s="81"/>
      <c r="K111" s="81"/>
      <c r="L111" s="81"/>
      <c r="M111" s="81"/>
      <c r="N111" s="81"/>
      <c r="O111" s="81"/>
      <c r="P111" s="81"/>
      <c r="Q111" s="81"/>
      <c r="R111" s="81"/>
      <c r="S111" s="81"/>
      <c r="T111" s="81"/>
      <c r="U111" s="81"/>
      <c r="V111" s="81"/>
      <c r="W111" s="81"/>
      <c r="X111" s="81"/>
      <c r="Y111" s="81"/>
      <c r="Z111" s="81"/>
      <c r="AA111" s="81"/>
      <c r="AB111" s="81"/>
    </row>
    <row r="112" spans="3:30" x14ac:dyDescent="0.25">
      <c r="C112" s="88"/>
      <c r="D112"/>
      <c r="E112" s="29"/>
      <c r="J112" s="89"/>
      <c r="K112" s="89"/>
      <c r="L112" s="89"/>
      <c r="M112" s="89"/>
      <c r="N112" s="89"/>
      <c r="O112" s="89"/>
      <c r="P112" s="89"/>
      <c r="Q112" s="89"/>
      <c r="R112" s="89"/>
      <c r="S112" s="89"/>
      <c r="T112" s="89"/>
      <c r="U112" s="89"/>
      <c r="V112" s="89"/>
      <c r="W112" s="89"/>
      <c r="X112" s="89"/>
      <c r="Y112" s="89"/>
      <c r="Z112" s="89"/>
      <c r="AA112" s="89"/>
      <c r="AB112" s="89"/>
    </row>
    <row r="113" spans="3:30" x14ac:dyDescent="0.25">
      <c r="C113" s="88"/>
      <c r="D113"/>
      <c r="E113" s="32" t="s">
        <v>621</v>
      </c>
      <c r="J113" s="89"/>
      <c r="K113" s="89"/>
      <c r="L113" s="89"/>
      <c r="M113" s="89"/>
      <c r="N113" s="89"/>
      <c r="O113" s="89"/>
      <c r="P113" s="89"/>
      <c r="Q113" s="89"/>
      <c r="R113" s="89"/>
      <c r="S113" s="89"/>
      <c r="T113" s="89"/>
      <c r="U113" s="89"/>
      <c r="V113" s="89"/>
      <c r="W113" s="89"/>
      <c r="X113" s="89"/>
      <c r="Y113" s="89"/>
      <c r="Z113" s="89"/>
      <c r="AA113" s="89"/>
      <c r="AB113" s="89"/>
    </row>
    <row r="114" spans="3:30" x14ac:dyDescent="0.25">
      <c r="C114" s="88"/>
      <c r="D114"/>
      <c r="F114" s="23" t="s">
        <v>188</v>
      </c>
      <c r="G114" s="23" t="s">
        <v>727</v>
      </c>
      <c r="H114" s="23"/>
      <c r="I114" s="23"/>
      <c r="J114" s="126">
        <f t="shared" ref="J114:AB114" si="160">SUMIFS($J84:$AB84,$J$63:$AB$63,J$63)</f>
        <v>0</v>
      </c>
      <c r="K114" s="126">
        <f t="shared" si="160"/>
        <v>0</v>
      </c>
      <c r="L114" s="126">
        <f t="shared" si="160"/>
        <v>0</v>
      </c>
      <c r="M114" s="126">
        <f t="shared" si="160"/>
        <v>0</v>
      </c>
      <c r="N114" s="126">
        <f t="shared" si="160"/>
        <v>0</v>
      </c>
      <c r="O114" s="126">
        <f t="shared" si="160"/>
        <v>0</v>
      </c>
      <c r="P114" s="126">
        <f t="shared" si="160"/>
        <v>0</v>
      </c>
      <c r="Q114" s="126">
        <f t="shared" ref="Q114:S114" si="161">SUMIFS($J84:$AB84,$J$63:$AB$63,Q$63)</f>
        <v>0</v>
      </c>
      <c r="R114" s="126">
        <f t="shared" si="161"/>
        <v>0</v>
      </c>
      <c r="S114" s="126">
        <f t="shared" si="161"/>
        <v>0</v>
      </c>
      <c r="T114" s="126">
        <f t="shared" si="160"/>
        <v>0</v>
      </c>
      <c r="U114" s="126">
        <f t="shared" si="160"/>
        <v>0</v>
      </c>
      <c r="V114" s="126">
        <f t="shared" si="160"/>
        <v>0</v>
      </c>
      <c r="W114" s="126">
        <f t="shared" si="160"/>
        <v>0</v>
      </c>
      <c r="X114" s="126">
        <f t="shared" si="160"/>
        <v>0</v>
      </c>
      <c r="Y114" s="126">
        <f t="shared" si="160"/>
        <v>0</v>
      </c>
      <c r="Z114" s="126">
        <f t="shared" si="160"/>
        <v>0</v>
      </c>
      <c r="AA114" s="126">
        <f t="shared" si="160"/>
        <v>0</v>
      </c>
      <c r="AB114" s="126">
        <f t="shared" si="160"/>
        <v>0</v>
      </c>
    </row>
    <row r="115" spans="3:30" x14ac:dyDescent="0.25">
      <c r="C115" s="88"/>
      <c r="D115"/>
      <c r="F115" t="s">
        <v>190</v>
      </c>
      <c r="G115" t="s">
        <v>727</v>
      </c>
      <c r="J115" s="98">
        <f t="shared" ref="J115:AB115" si="162">SUMIFS($J85:$AB85,$J$63:$AB$63,J$63)</f>
        <v>0</v>
      </c>
      <c r="K115" s="98">
        <f t="shared" si="162"/>
        <v>0</v>
      </c>
      <c r="L115" s="98">
        <f t="shared" si="162"/>
        <v>0</v>
      </c>
      <c r="M115" s="98">
        <f t="shared" si="162"/>
        <v>0</v>
      </c>
      <c r="N115" s="98">
        <f t="shared" si="162"/>
        <v>0</v>
      </c>
      <c r="O115" s="98">
        <f t="shared" si="162"/>
        <v>0</v>
      </c>
      <c r="P115" s="98">
        <f t="shared" si="162"/>
        <v>0</v>
      </c>
      <c r="Q115" s="98">
        <f t="shared" ref="Q115:S115" si="163">SUMIFS($J85:$AB85,$J$63:$AB$63,Q$63)</f>
        <v>0</v>
      </c>
      <c r="R115" s="98">
        <f t="shared" si="163"/>
        <v>0</v>
      </c>
      <c r="S115" s="98">
        <f t="shared" si="163"/>
        <v>0</v>
      </c>
      <c r="T115" s="98">
        <f t="shared" si="162"/>
        <v>0</v>
      </c>
      <c r="U115" s="98">
        <f t="shared" si="162"/>
        <v>0</v>
      </c>
      <c r="V115" s="98">
        <f t="shared" si="162"/>
        <v>0</v>
      </c>
      <c r="W115" s="98">
        <f t="shared" si="162"/>
        <v>0</v>
      </c>
      <c r="X115" s="98">
        <f t="shared" si="162"/>
        <v>0</v>
      </c>
      <c r="Y115" s="98">
        <f t="shared" si="162"/>
        <v>0</v>
      </c>
      <c r="Z115" s="98">
        <f t="shared" si="162"/>
        <v>0</v>
      </c>
      <c r="AA115" s="98">
        <f t="shared" si="162"/>
        <v>0</v>
      </c>
      <c r="AB115" s="98">
        <f t="shared" si="162"/>
        <v>0</v>
      </c>
    </row>
    <row r="116" spans="3:30" x14ac:dyDescent="0.25">
      <c r="C116" s="88"/>
      <c r="D116"/>
      <c r="F116" t="s">
        <v>191</v>
      </c>
      <c r="G116" t="s">
        <v>727</v>
      </c>
      <c r="J116" s="98">
        <f t="shared" ref="J116:AB116" si="164">SUMIFS($J86:$AB86,$J$63:$AB$63,J$63)</f>
        <v>0</v>
      </c>
      <c r="K116" s="98">
        <f t="shared" si="164"/>
        <v>0</v>
      </c>
      <c r="L116" s="98">
        <f t="shared" si="164"/>
        <v>0</v>
      </c>
      <c r="M116" s="98">
        <f t="shared" si="164"/>
        <v>0</v>
      </c>
      <c r="N116" s="98">
        <f t="shared" si="164"/>
        <v>0</v>
      </c>
      <c r="O116" s="98">
        <f t="shared" si="164"/>
        <v>0</v>
      </c>
      <c r="P116" s="98">
        <f t="shared" si="164"/>
        <v>0</v>
      </c>
      <c r="Q116" s="98">
        <f t="shared" ref="Q116:S116" si="165">SUMIFS($J86:$AB86,$J$63:$AB$63,Q$63)</f>
        <v>0</v>
      </c>
      <c r="R116" s="98">
        <f t="shared" si="165"/>
        <v>0</v>
      </c>
      <c r="S116" s="98">
        <f t="shared" si="165"/>
        <v>0</v>
      </c>
      <c r="T116" s="98">
        <f t="shared" si="164"/>
        <v>0</v>
      </c>
      <c r="U116" s="98">
        <f t="shared" si="164"/>
        <v>0</v>
      </c>
      <c r="V116" s="98">
        <f t="shared" si="164"/>
        <v>0</v>
      </c>
      <c r="W116" s="98">
        <f t="shared" si="164"/>
        <v>0</v>
      </c>
      <c r="X116" s="98">
        <f t="shared" si="164"/>
        <v>0</v>
      </c>
      <c r="Y116" s="98">
        <f t="shared" si="164"/>
        <v>0</v>
      </c>
      <c r="Z116" s="98">
        <f t="shared" si="164"/>
        <v>0</v>
      </c>
      <c r="AA116" s="98">
        <f t="shared" si="164"/>
        <v>0</v>
      </c>
      <c r="AB116" s="98">
        <f t="shared" si="164"/>
        <v>0</v>
      </c>
    </row>
    <row r="117" spans="3:30" x14ac:dyDescent="0.25">
      <c r="C117" s="88"/>
      <c r="D117"/>
      <c r="F117" t="s">
        <v>192</v>
      </c>
      <c r="G117" t="s">
        <v>727</v>
      </c>
      <c r="J117" s="98">
        <f t="shared" ref="J117:AB117" si="166">SUMIFS($J87:$AB87,$J$63:$AB$63,J$63)</f>
        <v>0</v>
      </c>
      <c r="K117" s="98">
        <f t="shared" si="166"/>
        <v>0</v>
      </c>
      <c r="L117" s="98">
        <f t="shared" si="166"/>
        <v>0</v>
      </c>
      <c r="M117" s="98">
        <f t="shared" si="166"/>
        <v>0</v>
      </c>
      <c r="N117" s="98">
        <f t="shared" si="166"/>
        <v>0</v>
      </c>
      <c r="O117" s="98">
        <f t="shared" si="166"/>
        <v>0</v>
      </c>
      <c r="P117" s="98">
        <f t="shared" si="166"/>
        <v>0</v>
      </c>
      <c r="Q117" s="98">
        <f t="shared" ref="Q117:S117" si="167">SUMIFS($J87:$AB87,$J$63:$AB$63,Q$63)</f>
        <v>0</v>
      </c>
      <c r="R117" s="98">
        <f t="shared" si="167"/>
        <v>0</v>
      </c>
      <c r="S117" s="98">
        <f t="shared" si="167"/>
        <v>0</v>
      </c>
      <c r="T117" s="98">
        <f t="shared" si="166"/>
        <v>0</v>
      </c>
      <c r="U117" s="98">
        <f t="shared" si="166"/>
        <v>0</v>
      </c>
      <c r="V117" s="98">
        <f t="shared" si="166"/>
        <v>0</v>
      </c>
      <c r="W117" s="98">
        <f t="shared" si="166"/>
        <v>0</v>
      </c>
      <c r="X117" s="98">
        <f t="shared" si="166"/>
        <v>0</v>
      </c>
      <c r="Y117" s="98">
        <f t="shared" si="166"/>
        <v>0</v>
      </c>
      <c r="Z117" s="98">
        <f t="shared" si="166"/>
        <v>0</v>
      </c>
      <c r="AA117" s="98">
        <f t="shared" si="166"/>
        <v>0</v>
      </c>
      <c r="AB117" s="98">
        <f t="shared" si="166"/>
        <v>0</v>
      </c>
    </row>
    <row r="118" spans="3:30" x14ac:dyDescent="0.25">
      <c r="C118" s="88"/>
      <c r="D118"/>
      <c r="F118" t="s">
        <v>193</v>
      </c>
      <c r="G118" t="s">
        <v>727</v>
      </c>
      <c r="J118" s="98">
        <f t="shared" ref="J118:AB118" si="168">SUMIFS($J88:$AB88,$J$63:$AB$63,J$63)</f>
        <v>0</v>
      </c>
      <c r="K118" s="98">
        <f t="shared" si="168"/>
        <v>0</v>
      </c>
      <c r="L118" s="98">
        <f t="shared" si="168"/>
        <v>0</v>
      </c>
      <c r="M118" s="98">
        <f t="shared" si="168"/>
        <v>0</v>
      </c>
      <c r="N118" s="98">
        <f t="shared" si="168"/>
        <v>0</v>
      </c>
      <c r="O118" s="98">
        <f t="shared" si="168"/>
        <v>0</v>
      </c>
      <c r="P118" s="98">
        <f t="shared" si="168"/>
        <v>0</v>
      </c>
      <c r="Q118" s="98">
        <f t="shared" ref="Q118:S118" si="169">SUMIFS($J88:$AB88,$J$63:$AB$63,Q$63)</f>
        <v>0</v>
      </c>
      <c r="R118" s="98">
        <f t="shared" si="169"/>
        <v>0</v>
      </c>
      <c r="S118" s="98">
        <f t="shared" si="169"/>
        <v>0</v>
      </c>
      <c r="T118" s="98">
        <f t="shared" si="168"/>
        <v>0</v>
      </c>
      <c r="U118" s="98">
        <f t="shared" si="168"/>
        <v>0</v>
      </c>
      <c r="V118" s="98">
        <f t="shared" si="168"/>
        <v>0</v>
      </c>
      <c r="W118" s="98">
        <f t="shared" si="168"/>
        <v>0</v>
      </c>
      <c r="X118" s="98">
        <f t="shared" si="168"/>
        <v>0</v>
      </c>
      <c r="Y118" s="98">
        <f t="shared" si="168"/>
        <v>0</v>
      </c>
      <c r="Z118" s="98">
        <f t="shared" si="168"/>
        <v>0</v>
      </c>
      <c r="AA118" s="98">
        <f t="shared" si="168"/>
        <v>0</v>
      </c>
      <c r="AB118" s="98">
        <f t="shared" si="168"/>
        <v>0</v>
      </c>
    </row>
    <row r="119" spans="3:30" x14ac:dyDescent="0.25">
      <c r="C119" s="88"/>
      <c r="D119"/>
      <c r="F119" t="s">
        <v>194</v>
      </c>
      <c r="G119" t="s">
        <v>727</v>
      </c>
      <c r="J119" s="98">
        <f t="shared" ref="J119:AB119" si="170">SUMIFS($J89:$AB89,$J$63:$AB$63,J$63)</f>
        <v>0</v>
      </c>
      <c r="K119" s="98">
        <f t="shared" si="170"/>
        <v>0</v>
      </c>
      <c r="L119" s="98">
        <f t="shared" si="170"/>
        <v>0</v>
      </c>
      <c r="M119" s="98">
        <f t="shared" si="170"/>
        <v>0</v>
      </c>
      <c r="N119" s="98">
        <f t="shared" si="170"/>
        <v>0</v>
      </c>
      <c r="O119" s="98">
        <f t="shared" si="170"/>
        <v>0</v>
      </c>
      <c r="P119" s="98">
        <f t="shared" si="170"/>
        <v>0</v>
      </c>
      <c r="Q119" s="98">
        <f t="shared" ref="Q119:S119" si="171">SUMIFS($J89:$AB89,$J$63:$AB$63,Q$63)</f>
        <v>0</v>
      </c>
      <c r="R119" s="98">
        <f t="shared" si="171"/>
        <v>0</v>
      </c>
      <c r="S119" s="98">
        <f t="shared" si="171"/>
        <v>0</v>
      </c>
      <c r="T119" s="98">
        <f t="shared" si="170"/>
        <v>0</v>
      </c>
      <c r="U119" s="98">
        <f t="shared" si="170"/>
        <v>0</v>
      </c>
      <c r="V119" s="98">
        <f t="shared" si="170"/>
        <v>0</v>
      </c>
      <c r="W119" s="98">
        <f t="shared" si="170"/>
        <v>0</v>
      </c>
      <c r="X119" s="98">
        <f t="shared" si="170"/>
        <v>0</v>
      </c>
      <c r="Y119" s="98">
        <f t="shared" si="170"/>
        <v>0</v>
      </c>
      <c r="Z119" s="98">
        <f t="shared" si="170"/>
        <v>0</v>
      </c>
      <c r="AA119" s="98">
        <f t="shared" si="170"/>
        <v>0</v>
      </c>
      <c r="AB119" s="98">
        <f t="shared" si="170"/>
        <v>0</v>
      </c>
    </row>
    <row r="120" spans="3:30" x14ac:dyDescent="0.25">
      <c r="C120" s="88"/>
      <c r="D120"/>
      <c r="F120" t="s">
        <v>195</v>
      </c>
      <c r="G120" t="s">
        <v>727</v>
      </c>
      <c r="J120" s="98">
        <f t="shared" ref="J120:AB120" si="172">SUMIFS($J90:$AB90,$J$63:$AB$63,J$63)</f>
        <v>0</v>
      </c>
      <c r="K120" s="98">
        <f t="shared" si="172"/>
        <v>0</v>
      </c>
      <c r="L120" s="98">
        <f t="shared" si="172"/>
        <v>0</v>
      </c>
      <c r="M120" s="98">
        <f t="shared" si="172"/>
        <v>0</v>
      </c>
      <c r="N120" s="98">
        <f t="shared" si="172"/>
        <v>0</v>
      </c>
      <c r="O120" s="98">
        <f t="shared" si="172"/>
        <v>0</v>
      </c>
      <c r="P120" s="98">
        <f t="shared" si="172"/>
        <v>0</v>
      </c>
      <c r="Q120" s="98">
        <f t="shared" ref="Q120:S120" si="173">SUMIFS($J90:$AB90,$J$63:$AB$63,Q$63)</f>
        <v>0</v>
      </c>
      <c r="R120" s="98">
        <f t="shared" si="173"/>
        <v>0</v>
      </c>
      <c r="S120" s="98">
        <f t="shared" si="173"/>
        <v>0</v>
      </c>
      <c r="T120" s="98">
        <f t="shared" si="172"/>
        <v>0</v>
      </c>
      <c r="U120" s="98">
        <f t="shared" si="172"/>
        <v>0</v>
      </c>
      <c r="V120" s="98">
        <f t="shared" si="172"/>
        <v>0</v>
      </c>
      <c r="W120" s="98">
        <f t="shared" si="172"/>
        <v>0</v>
      </c>
      <c r="X120" s="98">
        <f t="shared" si="172"/>
        <v>0</v>
      </c>
      <c r="Y120" s="98">
        <f t="shared" si="172"/>
        <v>0</v>
      </c>
      <c r="Z120" s="98">
        <f t="shared" si="172"/>
        <v>0</v>
      </c>
      <c r="AA120" s="98">
        <f t="shared" si="172"/>
        <v>0</v>
      </c>
      <c r="AB120" s="98">
        <f t="shared" si="172"/>
        <v>0</v>
      </c>
    </row>
    <row r="121" spans="3:30" x14ac:dyDescent="0.25">
      <c r="C121" s="88"/>
      <c r="D121"/>
      <c r="F121" t="s">
        <v>196</v>
      </c>
      <c r="G121" t="s">
        <v>727</v>
      </c>
      <c r="J121" s="98">
        <f t="shared" ref="J121:AB121" si="174">SUMIFS($J91:$AB91,$J$63:$AB$63,J$63)</f>
        <v>0</v>
      </c>
      <c r="K121" s="98">
        <f t="shared" si="174"/>
        <v>0</v>
      </c>
      <c r="L121" s="98">
        <f t="shared" si="174"/>
        <v>0</v>
      </c>
      <c r="M121" s="98">
        <f t="shared" si="174"/>
        <v>0</v>
      </c>
      <c r="N121" s="98">
        <f t="shared" si="174"/>
        <v>0</v>
      </c>
      <c r="O121" s="98">
        <f t="shared" si="174"/>
        <v>0</v>
      </c>
      <c r="P121" s="98">
        <f t="shared" si="174"/>
        <v>0</v>
      </c>
      <c r="Q121" s="98">
        <f t="shared" ref="Q121:S121" si="175">SUMIFS($J91:$AB91,$J$63:$AB$63,Q$63)</f>
        <v>0</v>
      </c>
      <c r="R121" s="98">
        <f t="shared" si="175"/>
        <v>0</v>
      </c>
      <c r="S121" s="98">
        <f t="shared" si="175"/>
        <v>0</v>
      </c>
      <c r="T121" s="98">
        <f t="shared" si="174"/>
        <v>0</v>
      </c>
      <c r="U121" s="98">
        <f t="shared" si="174"/>
        <v>0</v>
      </c>
      <c r="V121" s="98">
        <f t="shared" si="174"/>
        <v>0</v>
      </c>
      <c r="W121" s="98">
        <f t="shared" si="174"/>
        <v>0</v>
      </c>
      <c r="X121" s="98">
        <f t="shared" si="174"/>
        <v>0</v>
      </c>
      <c r="Y121" s="98">
        <f t="shared" si="174"/>
        <v>0</v>
      </c>
      <c r="Z121" s="98">
        <f t="shared" si="174"/>
        <v>0</v>
      </c>
      <c r="AA121" s="98">
        <f t="shared" si="174"/>
        <v>0</v>
      </c>
      <c r="AB121" s="98">
        <f t="shared" si="174"/>
        <v>0</v>
      </c>
    </row>
    <row r="122" spans="3:30" x14ac:dyDescent="0.25">
      <c r="C122" s="88"/>
      <c r="D122"/>
      <c r="F122" t="s">
        <v>197</v>
      </c>
      <c r="G122" t="s">
        <v>727</v>
      </c>
      <c r="J122" s="98">
        <f t="shared" ref="J122:AB122" si="176">SUMIFS($J92:$AB92,$J$63:$AB$63,J$63)</f>
        <v>0</v>
      </c>
      <c r="K122" s="98">
        <f t="shared" si="176"/>
        <v>0</v>
      </c>
      <c r="L122" s="98">
        <f t="shared" si="176"/>
        <v>0</v>
      </c>
      <c r="M122" s="98">
        <f t="shared" si="176"/>
        <v>0</v>
      </c>
      <c r="N122" s="98">
        <f t="shared" si="176"/>
        <v>0</v>
      </c>
      <c r="O122" s="98">
        <f t="shared" si="176"/>
        <v>0</v>
      </c>
      <c r="P122" s="98">
        <f t="shared" si="176"/>
        <v>0</v>
      </c>
      <c r="Q122" s="98">
        <f t="shared" ref="Q122:S122" si="177">SUMIFS($J92:$AB92,$J$63:$AB$63,Q$63)</f>
        <v>0</v>
      </c>
      <c r="R122" s="98">
        <f t="shared" si="177"/>
        <v>0</v>
      </c>
      <c r="S122" s="98">
        <f t="shared" si="177"/>
        <v>0</v>
      </c>
      <c r="T122" s="98">
        <f t="shared" si="176"/>
        <v>0</v>
      </c>
      <c r="U122" s="98">
        <f t="shared" si="176"/>
        <v>0</v>
      </c>
      <c r="V122" s="98">
        <f t="shared" si="176"/>
        <v>0</v>
      </c>
      <c r="W122" s="98">
        <f t="shared" si="176"/>
        <v>0</v>
      </c>
      <c r="X122" s="98">
        <f t="shared" si="176"/>
        <v>0</v>
      </c>
      <c r="Y122" s="98">
        <f t="shared" si="176"/>
        <v>0</v>
      </c>
      <c r="Z122" s="98">
        <f t="shared" si="176"/>
        <v>0</v>
      </c>
      <c r="AA122" s="98">
        <f t="shared" si="176"/>
        <v>0</v>
      </c>
      <c r="AB122" s="98">
        <f t="shared" si="176"/>
        <v>0</v>
      </c>
    </row>
    <row r="123" spans="3:30" x14ac:dyDescent="0.25">
      <c r="C123" s="88"/>
      <c r="D123"/>
      <c r="F123" t="s">
        <v>198</v>
      </c>
      <c r="G123" t="s">
        <v>727</v>
      </c>
      <c r="J123" s="98">
        <f t="shared" ref="J123:AB123" si="178">SUMIFS($J93:$AB93,$J$63:$AB$63,J$63)</f>
        <v>1624796.0224668644</v>
      </c>
      <c r="K123" s="98">
        <f t="shared" si="178"/>
        <v>0</v>
      </c>
      <c r="L123" s="98">
        <f t="shared" si="178"/>
        <v>1624796.0224668644</v>
      </c>
      <c r="M123" s="98">
        <f t="shared" si="178"/>
        <v>0</v>
      </c>
      <c r="N123" s="98">
        <f t="shared" si="178"/>
        <v>0</v>
      </c>
      <c r="O123" s="98">
        <f t="shared" si="178"/>
        <v>0</v>
      </c>
      <c r="P123" s="98">
        <f t="shared" si="178"/>
        <v>0</v>
      </c>
      <c r="Q123" s="98">
        <f t="shared" ref="Q123:S123" si="179">SUMIFS($J93:$AB93,$J$63:$AB$63,Q$63)</f>
        <v>0</v>
      </c>
      <c r="R123" s="98">
        <f t="shared" si="179"/>
        <v>0</v>
      </c>
      <c r="S123" s="98">
        <f t="shared" si="179"/>
        <v>0</v>
      </c>
      <c r="T123" s="98">
        <f t="shared" si="178"/>
        <v>0</v>
      </c>
      <c r="U123" s="98">
        <f t="shared" si="178"/>
        <v>0</v>
      </c>
      <c r="V123" s="98">
        <f t="shared" si="178"/>
        <v>0</v>
      </c>
      <c r="W123" s="98">
        <f t="shared" si="178"/>
        <v>0</v>
      </c>
      <c r="X123" s="98">
        <f t="shared" si="178"/>
        <v>0</v>
      </c>
      <c r="Y123" s="98">
        <f t="shared" si="178"/>
        <v>0</v>
      </c>
      <c r="Z123" s="98">
        <f t="shared" si="178"/>
        <v>0</v>
      </c>
      <c r="AA123" s="98">
        <f t="shared" si="178"/>
        <v>0</v>
      </c>
      <c r="AB123" s="98">
        <f t="shared" si="178"/>
        <v>0</v>
      </c>
    </row>
    <row r="124" spans="3:30" x14ac:dyDescent="0.25">
      <c r="C124" s="88"/>
      <c r="D124"/>
      <c r="F124" t="s">
        <v>375</v>
      </c>
      <c r="G124" t="s">
        <v>727</v>
      </c>
      <c r="J124" s="79"/>
      <c r="K124" s="79"/>
      <c r="L124" s="79"/>
      <c r="M124" s="79"/>
      <c r="N124" s="79"/>
      <c r="O124" s="79"/>
      <c r="P124" s="79"/>
      <c r="Q124" s="79"/>
      <c r="R124" s="79"/>
      <c r="S124" s="79"/>
      <c r="T124" s="79"/>
      <c r="U124" s="79"/>
      <c r="V124" s="79"/>
      <c r="W124" s="79"/>
      <c r="X124" s="79"/>
      <c r="Y124" s="79"/>
      <c r="Z124" s="79"/>
      <c r="AA124" s="79"/>
      <c r="AB124" s="79"/>
    </row>
    <row r="125" spans="3:30" x14ac:dyDescent="0.25">
      <c r="C125" s="88"/>
      <c r="D125"/>
      <c r="F125" s="37" t="s">
        <v>376</v>
      </c>
      <c r="G125" s="37" t="s">
        <v>727</v>
      </c>
      <c r="H125" s="37"/>
      <c r="I125" s="37"/>
      <c r="J125" s="81"/>
      <c r="K125" s="81"/>
      <c r="L125" s="81"/>
      <c r="M125" s="81"/>
      <c r="N125" s="81"/>
      <c r="O125" s="81"/>
      <c r="P125" s="81"/>
      <c r="Q125" s="81"/>
      <c r="R125" s="81"/>
      <c r="S125" s="81"/>
      <c r="T125" s="81"/>
      <c r="U125" s="81"/>
      <c r="V125" s="81"/>
      <c r="W125" s="81"/>
      <c r="X125" s="81"/>
      <c r="Y125" s="81"/>
      <c r="Z125" s="81"/>
      <c r="AA125" s="81"/>
      <c r="AB125" s="81"/>
    </row>
    <row r="126" spans="3:30" x14ac:dyDescent="0.25">
      <c r="C126" s="88"/>
      <c r="J126" s="89"/>
      <c r="K126" s="89"/>
      <c r="L126" s="89"/>
      <c r="M126" s="89"/>
      <c r="N126" s="89"/>
      <c r="O126" s="89"/>
      <c r="P126" s="89"/>
      <c r="Q126" s="89"/>
      <c r="R126" s="89"/>
      <c r="S126" s="89"/>
      <c r="T126" s="89"/>
      <c r="U126" s="89"/>
      <c r="V126" s="89"/>
      <c r="W126" s="89"/>
      <c r="X126" s="89"/>
      <c r="Y126" s="89"/>
      <c r="Z126" s="89"/>
      <c r="AA126" s="89"/>
      <c r="AB126" s="89"/>
    </row>
    <row r="127" spans="3:30" x14ac:dyDescent="0.25">
      <c r="C127" s="31" t="str">
        <f ca="1">INDEX('Version control'!$H$34:$H$57,MATCH($A$1,'Version control'!$F$34:$F$57,0),1)&amp;"-G: Fixed charges, by network level"</f>
        <v>Section 114-G: Fixed charges, by network level</v>
      </c>
      <c r="D127" s="31"/>
      <c r="E127" s="31"/>
      <c r="F127" s="31"/>
      <c r="G127" s="31"/>
      <c r="H127" s="31"/>
      <c r="I127" s="31"/>
      <c r="J127" s="90"/>
      <c r="K127" s="90"/>
      <c r="L127" s="90"/>
      <c r="M127" s="90"/>
      <c r="N127" s="90"/>
      <c r="O127" s="90"/>
      <c r="P127" s="90"/>
      <c r="Q127" s="90"/>
      <c r="R127" s="90"/>
      <c r="S127" s="90"/>
      <c r="T127" s="90"/>
      <c r="U127" s="90"/>
      <c r="V127" s="90"/>
      <c r="W127" s="90"/>
      <c r="X127" s="90"/>
      <c r="Y127" s="90"/>
      <c r="Z127" s="90"/>
      <c r="AA127" s="90"/>
      <c r="AB127" s="90"/>
      <c r="AC127" s="31"/>
      <c r="AD127" s="31"/>
    </row>
    <row r="128" spans="3:30" x14ac:dyDescent="0.25">
      <c r="D128"/>
      <c r="E128" s="32"/>
    </row>
    <row r="129" spans="3:30" x14ac:dyDescent="0.25">
      <c r="D129"/>
      <c r="E129" t="s">
        <v>728</v>
      </c>
      <c r="G129" t="s">
        <v>211</v>
      </c>
      <c r="J129" s="89">
        <f t="shared" ref="J129:AB129" si="180">SUMIFS($J$18:$AB$18,$J$63:$AB$63,J63)</f>
        <v>2027204.9351209695</v>
      </c>
      <c r="K129" s="89">
        <f t="shared" si="180"/>
        <v>125588.59775410875</v>
      </c>
      <c r="L129" s="89">
        <f t="shared" si="180"/>
        <v>2027204.9351209695</v>
      </c>
      <c r="M129" s="89">
        <f t="shared" si="180"/>
        <v>125588.59775410875</v>
      </c>
      <c r="N129" s="89">
        <f t="shared" si="180"/>
        <v>125588.59775410875</v>
      </c>
      <c r="O129" s="89">
        <f t="shared" si="180"/>
        <v>125588.59775410875</v>
      </c>
      <c r="P129" s="89">
        <f t="shared" si="180"/>
        <v>125588.59775410875</v>
      </c>
      <c r="Q129" s="89">
        <f t="shared" ref="Q129:S129" si="181">SUMIFS($J$18:$AB$18,$J$63:$AB$63,Q63)</f>
        <v>125588.59775410875</v>
      </c>
      <c r="R129" s="89">
        <f t="shared" si="181"/>
        <v>125588.59775410875</v>
      </c>
      <c r="S129" s="89">
        <f t="shared" si="181"/>
        <v>125588.59775410875</v>
      </c>
      <c r="T129" s="89">
        <f t="shared" si="180"/>
        <v>125588.59775410875</v>
      </c>
      <c r="U129" s="89">
        <f t="shared" si="180"/>
        <v>125588.59775410875</v>
      </c>
      <c r="V129" s="89">
        <f t="shared" si="180"/>
        <v>125588.59775410875</v>
      </c>
      <c r="W129" s="89">
        <f t="shared" si="180"/>
        <v>125588.59775410875</v>
      </c>
      <c r="X129" s="89">
        <f t="shared" si="180"/>
        <v>125588.59775410875</v>
      </c>
      <c r="Y129" s="89">
        <f t="shared" si="180"/>
        <v>125588.59775410875</v>
      </c>
      <c r="Z129" s="89">
        <f t="shared" si="180"/>
        <v>125588.59775410875</v>
      </c>
      <c r="AA129" s="89">
        <f t="shared" si="180"/>
        <v>125588.59775410875</v>
      </c>
      <c r="AB129" s="89">
        <f t="shared" si="180"/>
        <v>125588.59775410875</v>
      </c>
    </row>
    <row r="130" spans="3:30" x14ac:dyDescent="0.25">
      <c r="D130"/>
      <c r="E130"/>
    </row>
    <row r="131" spans="3:30" x14ac:dyDescent="0.25">
      <c r="C131" s="88"/>
      <c r="E131" s="32" t="s">
        <v>620</v>
      </c>
      <c r="I131" t="s">
        <v>153</v>
      </c>
      <c r="J131" s="89"/>
      <c r="K131" s="89"/>
      <c r="L131" s="89"/>
      <c r="M131" s="89"/>
      <c r="N131" s="89"/>
      <c r="O131" s="89"/>
      <c r="P131" s="89"/>
      <c r="Q131" s="89"/>
      <c r="R131" s="89"/>
      <c r="S131" s="89"/>
      <c r="T131" s="89"/>
      <c r="U131" s="89"/>
      <c r="V131" s="89"/>
      <c r="W131" s="89"/>
      <c r="X131" s="89"/>
      <c r="Y131" s="89"/>
      <c r="Z131" s="89"/>
      <c r="AA131" s="89"/>
      <c r="AB131" s="89"/>
      <c r="AD131" t="s">
        <v>725</v>
      </c>
    </row>
    <row r="132" spans="3:30" x14ac:dyDescent="0.25">
      <c r="C132" s="88"/>
      <c r="E132" s="29"/>
      <c r="F132" s="23" t="s">
        <v>188</v>
      </c>
      <c r="G132" s="23" t="s">
        <v>269</v>
      </c>
      <c r="H132" s="23"/>
      <c r="I132" s="23"/>
      <c r="J132" s="126">
        <f t="shared" ref="J132:K132" si="182">IF(J$129 = 0, 0, J100 / J$129)</f>
        <v>0</v>
      </c>
      <c r="K132" s="126">
        <f t="shared" si="182"/>
        <v>0</v>
      </c>
      <c r="L132" s="126">
        <f t="shared" ref="L132:M132" si="183">IF(L$129 = 0, 0, L100 / L$129)</f>
        <v>0</v>
      </c>
      <c r="M132" s="126">
        <f t="shared" si="183"/>
        <v>0</v>
      </c>
      <c r="N132" s="126">
        <f t="shared" ref="N132:P132" si="184">IF(N$129 = 0, 0, N100 / N$129)</f>
        <v>0</v>
      </c>
      <c r="O132" s="126">
        <f t="shared" si="184"/>
        <v>0</v>
      </c>
      <c r="P132" s="126">
        <f t="shared" si="184"/>
        <v>0</v>
      </c>
      <c r="Q132" s="126">
        <f t="shared" ref="Q132:S132" si="185">IF(Q$129 = 0, 0, Q100 / Q$129)</f>
        <v>0</v>
      </c>
      <c r="R132" s="126">
        <f t="shared" si="185"/>
        <v>0</v>
      </c>
      <c r="S132" s="126">
        <f t="shared" si="185"/>
        <v>0</v>
      </c>
      <c r="T132" s="126">
        <f t="shared" ref="T132:V132" si="186">IF(T$129 = 0, 0, T100 / T$129)</f>
        <v>0</v>
      </c>
      <c r="U132" s="126">
        <f t="shared" si="186"/>
        <v>0</v>
      </c>
      <c r="V132" s="126">
        <f t="shared" si="186"/>
        <v>0</v>
      </c>
      <c r="W132" s="126">
        <f t="shared" ref="W132:X132" si="187">IF(W$129 = 0, 0, W100 / W$129)</f>
        <v>0</v>
      </c>
      <c r="X132" s="126">
        <f t="shared" si="187"/>
        <v>0</v>
      </c>
      <c r="Y132" s="126">
        <f t="shared" ref="Y132:Z132" si="188">IF(Y$129 = 0, 0, Y100 / Y$129)</f>
        <v>0</v>
      </c>
      <c r="Z132" s="126">
        <f t="shared" si="188"/>
        <v>0</v>
      </c>
      <c r="AA132" s="126">
        <f t="shared" ref="AA132:AB132" si="189">IF(AA$129 = 0, 0, AA100 / AA$129)</f>
        <v>0</v>
      </c>
      <c r="AB132" s="126">
        <f t="shared" si="189"/>
        <v>0</v>
      </c>
    </row>
    <row r="133" spans="3:30" x14ac:dyDescent="0.25">
      <c r="C133" s="88"/>
      <c r="E133" s="29"/>
      <c r="F133" t="s">
        <v>190</v>
      </c>
      <c r="G133" t="s">
        <v>269</v>
      </c>
      <c r="J133" s="98">
        <f t="shared" ref="J133:K133" si="190">IF(J$129 = 0, 0, J101 / J$129)</f>
        <v>0</v>
      </c>
      <c r="K133" s="98">
        <f t="shared" si="190"/>
        <v>0</v>
      </c>
      <c r="L133" s="98">
        <f t="shared" ref="L133:M133" si="191">IF(L$129 = 0, 0, L101 / L$129)</f>
        <v>0</v>
      </c>
      <c r="M133" s="98">
        <f t="shared" si="191"/>
        <v>0</v>
      </c>
      <c r="N133" s="98">
        <f t="shared" ref="N133:P133" si="192">IF(N$129 = 0, 0, N101 / N$129)</f>
        <v>0</v>
      </c>
      <c r="O133" s="98">
        <f t="shared" si="192"/>
        <v>0</v>
      </c>
      <c r="P133" s="98">
        <f t="shared" si="192"/>
        <v>0</v>
      </c>
      <c r="Q133" s="98">
        <f t="shared" ref="Q133:S133" si="193">IF(Q$129 = 0, 0, Q101 / Q$129)</f>
        <v>0</v>
      </c>
      <c r="R133" s="98">
        <f t="shared" si="193"/>
        <v>0</v>
      </c>
      <c r="S133" s="98">
        <f t="shared" si="193"/>
        <v>0</v>
      </c>
      <c r="T133" s="98">
        <f t="shared" ref="T133:V133" si="194">IF(T$129 = 0, 0, T101 / T$129)</f>
        <v>0</v>
      </c>
      <c r="U133" s="98">
        <f t="shared" si="194"/>
        <v>0</v>
      </c>
      <c r="V133" s="98">
        <f t="shared" si="194"/>
        <v>0</v>
      </c>
      <c r="W133" s="98">
        <f t="shared" ref="W133:X133" si="195">IF(W$129 = 0, 0, W101 / W$129)</f>
        <v>0</v>
      </c>
      <c r="X133" s="98">
        <f t="shared" si="195"/>
        <v>0</v>
      </c>
      <c r="Y133" s="98">
        <f t="shared" ref="Y133:Z133" si="196">IF(Y$129 = 0, 0, Y101 / Y$129)</f>
        <v>0</v>
      </c>
      <c r="Z133" s="98">
        <f t="shared" si="196"/>
        <v>0</v>
      </c>
      <c r="AA133" s="98">
        <f t="shared" ref="AA133:AB133" si="197">IF(AA$129 = 0, 0, AA101 / AA$129)</f>
        <v>0</v>
      </c>
      <c r="AB133" s="98">
        <f t="shared" si="197"/>
        <v>0</v>
      </c>
    </row>
    <row r="134" spans="3:30" x14ac:dyDescent="0.25">
      <c r="C134" s="88"/>
      <c r="E134" s="29"/>
      <c r="F134" t="s">
        <v>191</v>
      </c>
      <c r="G134" t="s">
        <v>269</v>
      </c>
      <c r="J134" s="98">
        <f t="shared" ref="J134:K134" si="198">IF(J$129 = 0, 0, J102 / J$129)</f>
        <v>0</v>
      </c>
      <c r="K134" s="98">
        <f t="shared" si="198"/>
        <v>0</v>
      </c>
      <c r="L134" s="98">
        <f t="shared" ref="L134:M134" si="199">IF(L$129 = 0, 0, L102 / L$129)</f>
        <v>0</v>
      </c>
      <c r="M134" s="98">
        <f t="shared" si="199"/>
        <v>0</v>
      </c>
      <c r="N134" s="98">
        <f t="shared" ref="N134:P134" si="200">IF(N$129 = 0, 0, N102 / N$129)</f>
        <v>0</v>
      </c>
      <c r="O134" s="98">
        <f t="shared" si="200"/>
        <v>0</v>
      </c>
      <c r="P134" s="98">
        <f t="shared" si="200"/>
        <v>0</v>
      </c>
      <c r="Q134" s="98">
        <f t="shared" ref="Q134:S134" si="201">IF(Q$129 = 0, 0, Q102 / Q$129)</f>
        <v>0</v>
      </c>
      <c r="R134" s="98">
        <f t="shared" si="201"/>
        <v>0</v>
      </c>
      <c r="S134" s="98">
        <f t="shared" si="201"/>
        <v>0</v>
      </c>
      <c r="T134" s="98">
        <f t="shared" ref="T134:V134" si="202">IF(T$129 = 0, 0, T102 / T$129)</f>
        <v>0</v>
      </c>
      <c r="U134" s="98">
        <f t="shared" si="202"/>
        <v>0</v>
      </c>
      <c r="V134" s="98">
        <f t="shared" si="202"/>
        <v>0</v>
      </c>
      <c r="W134" s="98">
        <f t="shared" ref="W134:X134" si="203">IF(W$129 = 0, 0, W102 / W$129)</f>
        <v>0</v>
      </c>
      <c r="X134" s="98">
        <f t="shared" si="203"/>
        <v>0</v>
      </c>
      <c r="Y134" s="98">
        <f t="shared" ref="Y134:Z134" si="204">IF(Y$129 = 0, 0, Y102 / Y$129)</f>
        <v>0</v>
      </c>
      <c r="Z134" s="98">
        <f t="shared" si="204"/>
        <v>0</v>
      </c>
      <c r="AA134" s="98">
        <f t="shared" ref="AA134:AB134" si="205">IF(AA$129 = 0, 0, AA102 / AA$129)</f>
        <v>0</v>
      </c>
      <c r="AB134" s="98">
        <f t="shared" si="205"/>
        <v>0</v>
      </c>
    </row>
    <row r="135" spans="3:30" x14ac:dyDescent="0.25">
      <c r="C135" s="88"/>
      <c r="E135" s="29"/>
      <c r="F135" t="s">
        <v>192</v>
      </c>
      <c r="G135" t="s">
        <v>269</v>
      </c>
      <c r="J135" s="98">
        <f t="shared" ref="J135:K135" si="206">IF(J$129 = 0, 0, J103 / J$129)</f>
        <v>0</v>
      </c>
      <c r="K135" s="98">
        <f t="shared" si="206"/>
        <v>0</v>
      </c>
      <c r="L135" s="98">
        <f t="shared" ref="L135:M135" si="207">IF(L$129 = 0, 0, L103 / L$129)</f>
        <v>0</v>
      </c>
      <c r="M135" s="98">
        <f t="shared" si="207"/>
        <v>0</v>
      </c>
      <c r="N135" s="98">
        <f t="shared" ref="N135:P135" si="208">IF(N$129 = 0, 0, N103 / N$129)</f>
        <v>0</v>
      </c>
      <c r="O135" s="98">
        <f t="shared" si="208"/>
        <v>0</v>
      </c>
      <c r="P135" s="98">
        <f t="shared" si="208"/>
        <v>0</v>
      </c>
      <c r="Q135" s="98">
        <f t="shared" ref="Q135:S135" si="209">IF(Q$129 = 0, 0, Q103 / Q$129)</f>
        <v>0</v>
      </c>
      <c r="R135" s="98">
        <f t="shared" si="209"/>
        <v>0</v>
      </c>
      <c r="S135" s="98">
        <f t="shared" si="209"/>
        <v>0</v>
      </c>
      <c r="T135" s="98">
        <f t="shared" ref="T135:V135" si="210">IF(T$129 = 0, 0, T103 / T$129)</f>
        <v>0</v>
      </c>
      <c r="U135" s="98">
        <f t="shared" si="210"/>
        <v>0</v>
      </c>
      <c r="V135" s="98">
        <f t="shared" si="210"/>
        <v>0</v>
      </c>
      <c r="W135" s="98">
        <f t="shared" ref="W135:X135" si="211">IF(W$129 = 0, 0, W103 / W$129)</f>
        <v>0</v>
      </c>
      <c r="X135" s="98">
        <f t="shared" si="211"/>
        <v>0</v>
      </c>
      <c r="Y135" s="98">
        <f t="shared" ref="Y135:Z135" si="212">IF(Y$129 = 0, 0, Y103 / Y$129)</f>
        <v>0</v>
      </c>
      <c r="Z135" s="98">
        <f t="shared" si="212"/>
        <v>0</v>
      </c>
      <c r="AA135" s="98">
        <f t="shared" ref="AA135:AB135" si="213">IF(AA$129 = 0, 0, AA103 / AA$129)</f>
        <v>0</v>
      </c>
      <c r="AB135" s="98">
        <f t="shared" si="213"/>
        <v>0</v>
      </c>
    </row>
    <row r="136" spans="3:30" x14ac:dyDescent="0.25">
      <c r="C136" s="88"/>
      <c r="E136" s="29"/>
      <c r="F136" t="s">
        <v>193</v>
      </c>
      <c r="G136" t="s">
        <v>269</v>
      </c>
      <c r="J136" s="98">
        <f t="shared" ref="J136:K136" si="214">IF(J$129 = 0, 0, J104 / J$129)</f>
        <v>0</v>
      </c>
      <c r="K136" s="98">
        <f t="shared" si="214"/>
        <v>0</v>
      </c>
      <c r="L136" s="98">
        <f t="shared" ref="L136:M136" si="215">IF(L$129 = 0, 0, L104 / L$129)</f>
        <v>0</v>
      </c>
      <c r="M136" s="98">
        <f t="shared" si="215"/>
        <v>0</v>
      </c>
      <c r="N136" s="98">
        <f t="shared" ref="N136:P136" si="216">IF(N$129 = 0, 0, N104 / N$129)</f>
        <v>0</v>
      </c>
      <c r="O136" s="98">
        <f t="shared" si="216"/>
        <v>0</v>
      </c>
      <c r="P136" s="98">
        <f t="shared" si="216"/>
        <v>0</v>
      </c>
      <c r="Q136" s="98">
        <f t="shared" ref="Q136:S136" si="217">IF(Q$129 = 0, 0, Q104 / Q$129)</f>
        <v>0</v>
      </c>
      <c r="R136" s="98">
        <f t="shared" si="217"/>
        <v>0</v>
      </c>
      <c r="S136" s="98">
        <f t="shared" si="217"/>
        <v>0</v>
      </c>
      <c r="T136" s="98">
        <f t="shared" ref="T136:V136" si="218">IF(T$129 = 0, 0, T104 / T$129)</f>
        <v>0</v>
      </c>
      <c r="U136" s="98">
        <f t="shared" si="218"/>
        <v>0</v>
      </c>
      <c r="V136" s="98">
        <f t="shared" si="218"/>
        <v>0</v>
      </c>
      <c r="W136" s="98">
        <f t="shared" ref="W136:X136" si="219">IF(W$129 = 0, 0, W104 / W$129)</f>
        <v>0</v>
      </c>
      <c r="X136" s="98">
        <f t="shared" si="219"/>
        <v>0</v>
      </c>
      <c r="Y136" s="98">
        <f t="shared" ref="Y136:Z136" si="220">IF(Y$129 = 0, 0, Y104 / Y$129)</f>
        <v>0</v>
      </c>
      <c r="Z136" s="98">
        <f t="shared" si="220"/>
        <v>0</v>
      </c>
      <c r="AA136" s="98">
        <f t="shared" ref="AA136:AB136" si="221">IF(AA$129 = 0, 0, AA104 / AA$129)</f>
        <v>0</v>
      </c>
      <c r="AB136" s="98">
        <f t="shared" si="221"/>
        <v>0</v>
      </c>
    </row>
    <row r="137" spans="3:30" x14ac:dyDescent="0.25">
      <c r="C137" s="88"/>
      <c r="E137" s="29"/>
      <c r="F137" t="s">
        <v>194</v>
      </c>
      <c r="G137" t="s">
        <v>269</v>
      </c>
      <c r="J137" s="98">
        <f t="shared" ref="J137:K137" si="222">IF(J$129 = 0, 0, J105 / J$129)</f>
        <v>0</v>
      </c>
      <c r="K137" s="98">
        <f t="shared" si="222"/>
        <v>0</v>
      </c>
      <c r="L137" s="98">
        <f t="shared" ref="L137:M137" si="223">IF(L$129 = 0, 0, L105 / L$129)</f>
        <v>0</v>
      </c>
      <c r="M137" s="98">
        <f t="shared" si="223"/>
        <v>0</v>
      </c>
      <c r="N137" s="98">
        <f t="shared" ref="N137:P137" si="224">IF(N$129 = 0, 0, N105 / N$129)</f>
        <v>0</v>
      </c>
      <c r="O137" s="98">
        <f t="shared" si="224"/>
        <v>0</v>
      </c>
      <c r="P137" s="98">
        <f t="shared" si="224"/>
        <v>0</v>
      </c>
      <c r="Q137" s="98">
        <f t="shared" ref="Q137:S137" si="225">IF(Q$129 = 0, 0, Q105 / Q$129)</f>
        <v>0</v>
      </c>
      <c r="R137" s="98">
        <f t="shared" si="225"/>
        <v>0</v>
      </c>
      <c r="S137" s="98">
        <f t="shared" si="225"/>
        <v>0</v>
      </c>
      <c r="T137" s="98">
        <f t="shared" ref="T137:V137" si="226">IF(T$129 = 0, 0, T105 / T$129)</f>
        <v>0</v>
      </c>
      <c r="U137" s="98">
        <f t="shared" si="226"/>
        <v>0</v>
      </c>
      <c r="V137" s="98">
        <f t="shared" si="226"/>
        <v>0</v>
      </c>
      <c r="W137" s="98">
        <f t="shared" ref="W137:X137" si="227">IF(W$129 = 0, 0, W105 / W$129)</f>
        <v>0</v>
      </c>
      <c r="X137" s="98">
        <f t="shared" si="227"/>
        <v>0</v>
      </c>
      <c r="Y137" s="98">
        <f t="shared" ref="Y137:Z137" si="228">IF(Y$129 = 0, 0, Y105 / Y$129)</f>
        <v>0</v>
      </c>
      <c r="Z137" s="98">
        <f t="shared" si="228"/>
        <v>0</v>
      </c>
      <c r="AA137" s="98">
        <f t="shared" ref="AA137:AB137" si="229">IF(AA$129 = 0, 0, AA105 / AA$129)</f>
        <v>0</v>
      </c>
      <c r="AB137" s="98">
        <f t="shared" si="229"/>
        <v>0</v>
      </c>
    </row>
    <row r="138" spans="3:30" x14ac:dyDescent="0.25">
      <c r="C138" s="88"/>
      <c r="E138" s="29"/>
      <c r="F138" t="s">
        <v>195</v>
      </c>
      <c r="G138" t="s">
        <v>269</v>
      </c>
      <c r="J138" s="98">
        <f t="shared" ref="J138:K138" si="230">IF(J$129 = 0, 0, J106 / J$129)</f>
        <v>0</v>
      </c>
      <c r="K138" s="98">
        <f t="shared" si="230"/>
        <v>0</v>
      </c>
      <c r="L138" s="98">
        <f t="shared" ref="L138:M138" si="231">IF(L$129 = 0, 0, L106 / L$129)</f>
        <v>0</v>
      </c>
      <c r="M138" s="98">
        <f t="shared" si="231"/>
        <v>0</v>
      </c>
      <c r="N138" s="98">
        <f t="shared" ref="N138:P138" si="232">IF(N$129 = 0, 0, N106 / N$129)</f>
        <v>0</v>
      </c>
      <c r="O138" s="98">
        <f t="shared" si="232"/>
        <v>0</v>
      </c>
      <c r="P138" s="98">
        <f t="shared" si="232"/>
        <v>0</v>
      </c>
      <c r="Q138" s="98">
        <f t="shared" ref="Q138:S138" si="233">IF(Q$129 = 0, 0, Q106 / Q$129)</f>
        <v>0</v>
      </c>
      <c r="R138" s="98">
        <f t="shared" si="233"/>
        <v>0</v>
      </c>
      <c r="S138" s="98">
        <f t="shared" si="233"/>
        <v>0</v>
      </c>
      <c r="T138" s="98">
        <f t="shared" ref="T138:V138" si="234">IF(T$129 = 0, 0, T106 / T$129)</f>
        <v>0</v>
      </c>
      <c r="U138" s="98">
        <f t="shared" si="234"/>
        <v>0</v>
      </c>
      <c r="V138" s="98">
        <f t="shared" si="234"/>
        <v>0</v>
      </c>
      <c r="W138" s="98">
        <f t="shared" ref="W138:X138" si="235">IF(W$129 = 0, 0, W106 / W$129)</f>
        <v>0</v>
      </c>
      <c r="X138" s="98">
        <f t="shared" si="235"/>
        <v>0</v>
      </c>
      <c r="Y138" s="98">
        <f t="shared" ref="Y138:Z138" si="236">IF(Y$129 = 0, 0, Y106 / Y$129)</f>
        <v>0</v>
      </c>
      <c r="Z138" s="98">
        <f t="shared" si="236"/>
        <v>0</v>
      </c>
      <c r="AA138" s="98">
        <f t="shared" ref="AA138:AB138" si="237">IF(AA$129 = 0, 0, AA106 / AA$129)</f>
        <v>0</v>
      </c>
      <c r="AB138" s="98">
        <f t="shared" si="237"/>
        <v>0</v>
      </c>
    </row>
    <row r="139" spans="3:30" x14ac:dyDescent="0.25">
      <c r="C139" s="88"/>
      <c r="E139" s="29"/>
      <c r="F139" t="s">
        <v>196</v>
      </c>
      <c r="G139" t="s">
        <v>269</v>
      </c>
      <c r="J139" s="98">
        <f t="shared" ref="J139:K139" si="238">IF(J$129 = 0, 0, J107 / J$129)</f>
        <v>0</v>
      </c>
      <c r="K139" s="98">
        <f t="shared" si="238"/>
        <v>0</v>
      </c>
      <c r="L139" s="98">
        <f t="shared" ref="L139:M139" si="239">IF(L$129 = 0, 0, L107 / L$129)</f>
        <v>0</v>
      </c>
      <c r="M139" s="98">
        <f t="shared" si="239"/>
        <v>0</v>
      </c>
      <c r="N139" s="98">
        <f t="shared" ref="N139:P139" si="240">IF(N$129 = 0, 0, N107 / N$129)</f>
        <v>0</v>
      </c>
      <c r="O139" s="98">
        <f t="shared" si="240"/>
        <v>0</v>
      </c>
      <c r="P139" s="98">
        <f t="shared" si="240"/>
        <v>0</v>
      </c>
      <c r="Q139" s="98">
        <f t="shared" ref="Q139:S139" si="241">IF(Q$129 = 0, 0, Q107 / Q$129)</f>
        <v>0</v>
      </c>
      <c r="R139" s="98">
        <f t="shared" si="241"/>
        <v>0</v>
      </c>
      <c r="S139" s="98">
        <f t="shared" si="241"/>
        <v>0</v>
      </c>
      <c r="T139" s="98">
        <f t="shared" ref="T139:V139" si="242">IF(T$129 = 0, 0, T107 / T$129)</f>
        <v>0</v>
      </c>
      <c r="U139" s="98">
        <f t="shared" si="242"/>
        <v>0</v>
      </c>
      <c r="V139" s="98">
        <f t="shared" si="242"/>
        <v>0</v>
      </c>
      <c r="W139" s="98">
        <f t="shared" ref="W139:X139" si="243">IF(W$129 = 0, 0, W107 / W$129)</f>
        <v>0</v>
      </c>
      <c r="X139" s="98">
        <f t="shared" si="243"/>
        <v>0</v>
      </c>
      <c r="Y139" s="98">
        <f t="shared" ref="Y139:Z139" si="244">IF(Y$129 = 0, 0, Y107 / Y$129)</f>
        <v>0</v>
      </c>
      <c r="Z139" s="98">
        <f t="shared" si="244"/>
        <v>0</v>
      </c>
      <c r="AA139" s="98">
        <f t="shared" ref="AA139:AB139" si="245">IF(AA$129 = 0, 0, AA107 / AA$129)</f>
        <v>0</v>
      </c>
      <c r="AB139" s="98">
        <f t="shared" si="245"/>
        <v>0</v>
      </c>
    </row>
    <row r="140" spans="3:30" x14ac:dyDescent="0.25">
      <c r="C140" s="88"/>
      <c r="E140" s="29"/>
      <c r="F140" t="s">
        <v>197</v>
      </c>
      <c r="G140" t="s">
        <v>269</v>
      </c>
      <c r="J140" s="98">
        <f t="shared" ref="J140:K140" si="246">IF(J$129 = 0, 0, J108 / J$129)</f>
        <v>0</v>
      </c>
      <c r="K140" s="98">
        <f t="shared" si="246"/>
        <v>0</v>
      </c>
      <c r="L140" s="98">
        <f t="shared" ref="L140:M140" si="247">IF(L$129 = 0, 0, L108 / L$129)</f>
        <v>0</v>
      </c>
      <c r="M140" s="98">
        <f t="shared" si="247"/>
        <v>0</v>
      </c>
      <c r="N140" s="98">
        <f t="shared" ref="N140:P140" si="248">IF(N$129 = 0, 0, N108 / N$129)</f>
        <v>0</v>
      </c>
      <c r="O140" s="98">
        <f t="shared" si="248"/>
        <v>0</v>
      </c>
      <c r="P140" s="98">
        <f t="shared" si="248"/>
        <v>0</v>
      </c>
      <c r="Q140" s="98">
        <f t="shared" ref="Q140:S140" si="249">IF(Q$129 = 0, 0, Q108 / Q$129)</f>
        <v>0</v>
      </c>
      <c r="R140" s="98">
        <f t="shared" si="249"/>
        <v>0</v>
      </c>
      <c r="S140" s="98">
        <f t="shared" si="249"/>
        <v>0</v>
      </c>
      <c r="T140" s="98">
        <f t="shared" ref="T140:V140" si="250">IF(T$129 = 0, 0, T108 / T$129)</f>
        <v>0</v>
      </c>
      <c r="U140" s="98">
        <f t="shared" si="250"/>
        <v>0</v>
      </c>
      <c r="V140" s="98">
        <f t="shared" si="250"/>
        <v>0</v>
      </c>
      <c r="W140" s="98">
        <f t="shared" ref="W140:X140" si="251">IF(W$129 = 0, 0, W108 / W$129)</f>
        <v>0</v>
      </c>
      <c r="X140" s="98">
        <f t="shared" si="251"/>
        <v>0</v>
      </c>
      <c r="Y140" s="98">
        <f t="shared" ref="Y140:Z140" si="252">IF(Y$129 = 0, 0, Y108 / Y$129)</f>
        <v>0</v>
      </c>
      <c r="Z140" s="98">
        <f t="shared" si="252"/>
        <v>0</v>
      </c>
      <c r="AA140" s="98">
        <f t="shared" ref="AA140:AB140" si="253">IF(AA$129 = 0, 0, AA108 / AA$129)</f>
        <v>0</v>
      </c>
      <c r="AB140" s="98">
        <f t="shared" si="253"/>
        <v>0</v>
      </c>
    </row>
    <row r="141" spans="3:30" x14ac:dyDescent="0.25">
      <c r="C141" s="88"/>
      <c r="E141" s="29"/>
      <c r="F141" t="s">
        <v>198</v>
      </c>
      <c r="G141" t="s">
        <v>269</v>
      </c>
      <c r="J141" s="98">
        <f t="shared" ref="J141:K141" si="254">IF(J$129 = 0, 0, J109 / J$129)</f>
        <v>8.2728435991190521E-2</v>
      </c>
      <c r="K141" s="98">
        <f t="shared" si="254"/>
        <v>0</v>
      </c>
      <c r="L141" s="98">
        <f t="shared" ref="L141:M141" si="255">IF(L$129 = 0, 0, L109 / L$129)</f>
        <v>8.2728435991190521E-2</v>
      </c>
      <c r="M141" s="98">
        <f t="shared" si="255"/>
        <v>0</v>
      </c>
      <c r="N141" s="98">
        <f t="shared" ref="N141:P141" si="256">IF(N$129 = 0, 0, N109 / N$129)</f>
        <v>0</v>
      </c>
      <c r="O141" s="98">
        <f t="shared" si="256"/>
        <v>0</v>
      </c>
      <c r="P141" s="98">
        <f t="shared" si="256"/>
        <v>0</v>
      </c>
      <c r="Q141" s="98">
        <f t="shared" ref="Q141:S141" si="257">IF(Q$129 = 0, 0, Q109 / Q$129)</f>
        <v>0</v>
      </c>
      <c r="R141" s="98">
        <f t="shared" si="257"/>
        <v>0</v>
      </c>
      <c r="S141" s="98">
        <f t="shared" si="257"/>
        <v>0</v>
      </c>
      <c r="T141" s="98">
        <f t="shared" ref="T141:V141" si="258">IF(T$129 = 0, 0, T109 / T$129)</f>
        <v>0</v>
      </c>
      <c r="U141" s="98">
        <f t="shared" si="258"/>
        <v>0</v>
      </c>
      <c r="V141" s="98">
        <f t="shared" si="258"/>
        <v>0</v>
      </c>
      <c r="W141" s="98">
        <f t="shared" ref="W141:X141" si="259">IF(W$129 = 0, 0, W109 / W$129)</f>
        <v>0</v>
      </c>
      <c r="X141" s="98">
        <f t="shared" si="259"/>
        <v>0</v>
      </c>
      <c r="Y141" s="98">
        <f t="shared" ref="Y141:Z141" si="260">IF(Y$129 = 0, 0, Y109 / Y$129)</f>
        <v>0</v>
      </c>
      <c r="Z141" s="98">
        <f t="shared" si="260"/>
        <v>0</v>
      </c>
      <c r="AA141" s="98">
        <f t="shared" ref="AA141:AB141" si="261">IF(AA$129 = 0, 0, AA109 / AA$129)</f>
        <v>0</v>
      </c>
      <c r="AB141" s="98">
        <f t="shared" si="261"/>
        <v>0</v>
      </c>
    </row>
    <row r="142" spans="3:30" x14ac:dyDescent="0.25">
      <c r="C142" s="88"/>
      <c r="E142" s="29"/>
      <c r="F142" s="23" t="s">
        <v>375</v>
      </c>
      <c r="G142" s="23" t="s">
        <v>269</v>
      </c>
      <c r="H142" s="23"/>
      <c r="I142" s="23"/>
      <c r="J142" s="83"/>
      <c r="K142" s="83"/>
      <c r="L142" s="83"/>
      <c r="M142" s="83"/>
      <c r="N142" s="83"/>
      <c r="O142" s="83"/>
      <c r="P142" s="83"/>
      <c r="Q142" s="83"/>
      <c r="R142" s="83"/>
      <c r="S142" s="83"/>
      <c r="T142" s="83"/>
      <c r="U142" s="83"/>
      <c r="V142" s="83"/>
      <c r="W142" s="83"/>
      <c r="X142" s="83"/>
      <c r="Y142" s="83"/>
      <c r="Z142" s="83"/>
      <c r="AA142" s="83"/>
      <c r="AB142" s="83"/>
    </row>
    <row r="143" spans="3:30" x14ac:dyDescent="0.25">
      <c r="C143" s="88"/>
      <c r="E143" s="29"/>
      <c r="F143" s="37" t="s">
        <v>376</v>
      </c>
      <c r="G143" s="37" t="s">
        <v>269</v>
      </c>
      <c r="H143" s="37"/>
      <c r="I143" s="37"/>
      <c r="J143" s="81"/>
      <c r="K143" s="81"/>
      <c r="L143" s="81"/>
      <c r="M143" s="81"/>
      <c r="N143" s="81"/>
      <c r="O143" s="81"/>
      <c r="P143" s="81"/>
      <c r="Q143" s="81"/>
      <c r="R143" s="81"/>
      <c r="S143" s="81"/>
      <c r="T143" s="81"/>
      <c r="U143" s="81"/>
      <c r="V143" s="81"/>
      <c r="W143" s="81"/>
      <c r="X143" s="81"/>
      <c r="Y143" s="81"/>
      <c r="Z143" s="81"/>
      <c r="AA143" s="81"/>
      <c r="AB143" s="81"/>
    </row>
    <row r="144" spans="3:30" x14ac:dyDescent="0.25">
      <c r="C144" s="88"/>
      <c r="D144"/>
      <c r="E144" s="29"/>
      <c r="J144" s="89"/>
      <c r="K144" s="89"/>
      <c r="L144" s="89"/>
      <c r="M144" s="89"/>
      <c r="N144" s="89"/>
      <c r="O144" s="89"/>
      <c r="P144" s="89"/>
      <c r="Q144" s="89"/>
      <c r="R144" s="89"/>
      <c r="S144" s="89"/>
      <c r="T144" s="89"/>
      <c r="U144" s="89"/>
      <c r="V144" s="89"/>
      <c r="W144" s="89"/>
      <c r="X144" s="89"/>
      <c r="Y144" s="89"/>
      <c r="Z144" s="89"/>
      <c r="AA144" s="89"/>
      <c r="AB144" s="89"/>
    </row>
    <row r="145" spans="3:30" x14ac:dyDescent="0.25">
      <c r="C145" s="88"/>
      <c r="E145" s="32" t="s">
        <v>621</v>
      </c>
      <c r="J145" s="89"/>
      <c r="K145" s="89"/>
      <c r="L145" s="89"/>
      <c r="M145" s="89"/>
      <c r="N145" s="89"/>
      <c r="O145" s="89"/>
      <c r="P145" s="89"/>
      <c r="Q145" s="89"/>
      <c r="R145" s="89"/>
      <c r="S145" s="89"/>
      <c r="T145" s="89"/>
      <c r="U145" s="89"/>
      <c r="V145" s="89"/>
      <c r="W145" s="89"/>
      <c r="X145" s="89"/>
      <c r="Y145" s="89"/>
      <c r="Z145" s="89"/>
      <c r="AA145" s="89"/>
      <c r="AB145" s="89"/>
    </row>
    <row r="146" spans="3:30" x14ac:dyDescent="0.25">
      <c r="C146" s="88"/>
      <c r="F146" s="23" t="s">
        <v>188</v>
      </c>
      <c r="G146" s="23" t="s">
        <v>269</v>
      </c>
      <c r="H146" s="23"/>
      <c r="I146" s="23"/>
      <c r="J146" s="126">
        <f t="shared" ref="J146:K146" si="262">IF(J$129 = 0, 0, J114 / J$129)</f>
        <v>0</v>
      </c>
      <c r="K146" s="126">
        <f t="shared" si="262"/>
        <v>0</v>
      </c>
      <c r="L146" s="126">
        <f t="shared" ref="L146:M146" si="263">IF(L$129 = 0, 0, L114 / L$129)</f>
        <v>0</v>
      </c>
      <c r="M146" s="126">
        <f t="shared" si="263"/>
        <v>0</v>
      </c>
      <c r="N146" s="126">
        <f t="shared" ref="N146:P146" si="264">IF(N$129 = 0, 0, N114 / N$129)</f>
        <v>0</v>
      </c>
      <c r="O146" s="126">
        <f t="shared" si="264"/>
        <v>0</v>
      </c>
      <c r="P146" s="126">
        <f t="shared" si="264"/>
        <v>0</v>
      </c>
      <c r="Q146" s="126">
        <f t="shared" ref="Q146:S146" si="265">IF(Q$129 = 0, 0, Q114 / Q$129)</f>
        <v>0</v>
      </c>
      <c r="R146" s="126">
        <f t="shared" si="265"/>
        <v>0</v>
      </c>
      <c r="S146" s="126">
        <f t="shared" si="265"/>
        <v>0</v>
      </c>
      <c r="T146" s="126">
        <f t="shared" ref="T146:V146" si="266">IF(T$129 = 0, 0, T114 / T$129)</f>
        <v>0</v>
      </c>
      <c r="U146" s="126">
        <f t="shared" si="266"/>
        <v>0</v>
      </c>
      <c r="V146" s="126">
        <f t="shared" si="266"/>
        <v>0</v>
      </c>
      <c r="W146" s="126">
        <f t="shared" ref="W146:X146" si="267">IF(W$129 = 0, 0, W114 / W$129)</f>
        <v>0</v>
      </c>
      <c r="X146" s="126">
        <f t="shared" si="267"/>
        <v>0</v>
      </c>
      <c r="Y146" s="126">
        <f t="shared" ref="Y146:Z146" si="268">IF(Y$129 = 0, 0, Y114 / Y$129)</f>
        <v>0</v>
      </c>
      <c r="Z146" s="126">
        <f t="shared" si="268"/>
        <v>0</v>
      </c>
      <c r="AA146" s="126">
        <f t="shared" ref="AA146:AB146" si="269">IF(AA$129 = 0, 0, AA114 / AA$129)</f>
        <v>0</v>
      </c>
      <c r="AB146" s="126">
        <f t="shared" si="269"/>
        <v>0</v>
      </c>
    </row>
    <row r="147" spans="3:30" x14ac:dyDescent="0.25">
      <c r="C147" s="88"/>
      <c r="F147" t="s">
        <v>190</v>
      </c>
      <c r="G147" t="s">
        <v>269</v>
      </c>
      <c r="J147" s="98">
        <f t="shared" ref="J147:K147" si="270">IF(J$129 = 0, 0, J115 / J$129)</f>
        <v>0</v>
      </c>
      <c r="K147" s="98">
        <f t="shared" si="270"/>
        <v>0</v>
      </c>
      <c r="L147" s="98">
        <f t="shared" ref="L147:M147" si="271">IF(L$129 = 0, 0, L115 / L$129)</f>
        <v>0</v>
      </c>
      <c r="M147" s="98">
        <f t="shared" si="271"/>
        <v>0</v>
      </c>
      <c r="N147" s="98">
        <f t="shared" ref="N147:P147" si="272">IF(N$129 = 0, 0, N115 / N$129)</f>
        <v>0</v>
      </c>
      <c r="O147" s="98">
        <f t="shared" si="272"/>
        <v>0</v>
      </c>
      <c r="P147" s="98">
        <f t="shared" si="272"/>
        <v>0</v>
      </c>
      <c r="Q147" s="98">
        <f t="shared" ref="Q147:S147" si="273">IF(Q$129 = 0, 0, Q115 / Q$129)</f>
        <v>0</v>
      </c>
      <c r="R147" s="98">
        <f t="shared" si="273"/>
        <v>0</v>
      </c>
      <c r="S147" s="98">
        <f t="shared" si="273"/>
        <v>0</v>
      </c>
      <c r="T147" s="98">
        <f t="shared" ref="T147:V147" si="274">IF(T$129 = 0, 0, T115 / T$129)</f>
        <v>0</v>
      </c>
      <c r="U147" s="98">
        <f t="shared" si="274"/>
        <v>0</v>
      </c>
      <c r="V147" s="98">
        <f t="shared" si="274"/>
        <v>0</v>
      </c>
      <c r="W147" s="98">
        <f t="shared" ref="W147:X147" si="275">IF(W$129 = 0, 0, W115 / W$129)</f>
        <v>0</v>
      </c>
      <c r="X147" s="98">
        <f t="shared" si="275"/>
        <v>0</v>
      </c>
      <c r="Y147" s="98">
        <f t="shared" ref="Y147:Z147" si="276">IF(Y$129 = 0, 0, Y115 / Y$129)</f>
        <v>0</v>
      </c>
      <c r="Z147" s="98">
        <f t="shared" si="276"/>
        <v>0</v>
      </c>
      <c r="AA147" s="98">
        <f t="shared" ref="AA147:AB147" si="277">IF(AA$129 = 0, 0, AA115 / AA$129)</f>
        <v>0</v>
      </c>
      <c r="AB147" s="98">
        <f t="shared" si="277"/>
        <v>0</v>
      </c>
    </row>
    <row r="148" spans="3:30" x14ac:dyDescent="0.25">
      <c r="C148" s="88"/>
      <c r="F148" t="s">
        <v>191</v>
      </c>
      <c r="G148" t="s">
        <v>269</v>
      </c>
      <c r="J148" s="98">
        <f t="shared" ref="J148:K148" si="278">IF(J$129 = 0, 0, J116 / J$129)</f>
        <v>0</v>
      </c>
      <c r="K148" s="98">
        <f t="shared" si="278"/>
        <v>0</v>
      </c>
      <c r="L148" s="98">
        <f t="shared" ref="L148:M148" si="279">IF(L$129 = 0, 0, L116 / L$129)</f>
        <v>0</v>
      </c>
      <c r="M148" s="98">
        <f t="shared" si="279"/>
        <v>0</v>
      </c>
      <c r="N148" s="98">
        <f t="shared" ref="N148:P148" si="280">IF(N$129 = 0, 0, N116 / N$129)</f>
        <v>0</v>
      </c>
      <c r="O148" s="98">
        <f t="shared" si="280"/>
        <v>0</v>
      </c>
      <c r="P148" s="98">
        <f t="shared" si="280"/>
        <v>0</v>
      </c>
      <c r="Q148" s="98">
        <f t="shared" ref="Q148:S148" si="281">IF(Q$129 = 0, 0, Q116 / Q$129)</f>
        <v>0</v>
      </c>
      <c r="R148" s="98">
        <f t="shared" si="281"/>
        <v>0</v>
      </c>
      <c r="S148" s="98">
        <f t="shared" si="281"/>
        <v>0</v>
      </c>
      <c r="T148" s="98">
        <f t="shared" ref="T148:V148" si="282">IF(T$129 = 0, 0, T116 / T$129)</f>
        <v>0</v>
      </c>
      <c r="U148" s="98">
        <f t="shared" si="282"/>
        <v>0</v>
      </c>
      <c r="V148" s="98">
        <f t="shared" si="282"/>
        <v>0</v>
      </c>
      <c r="W148" s="98">
        <f t="shared" ref="W148:X148" si="283">IF(W$129 = 0, 0, W116 / W$129)</f>
        <v>0</v>
      </c>
      <c r="X148" s="98">
        <f t="shared" si="283"/>
        <v>0</v>
      </c>
      <c r="Y148" s="98">
        <f t="shared" ref="Y148:Z148" si="284">IF(Y$129 = 0, 0, Y116 / Y$129)</f>
        <v>0</v>
      </c>
      <c r="Z148" s="98">
        <f t="shared" si="284"/>
        <v>0</v>
      </c>
      <c r="AA148" s="98">
        <f t="shared" ref="AA148:AB148" si="285">IF(AA$129 = 0, 0, AA116 / AA$129)</f>
        <v>0</v>
      </c>
      <c r="AB148" s="98">
        <f t="shared" si="285"/>
        <v>0</v>
      </c>
    </row>
    <row r="149" spans="3:30" x14ac:dyDescent="0.25">
      <c r="C149" s="88"/>
      <c r="F149" t="s">
        <v>192</v>
      </c>
      <c r="G149" t="s">
        <v>269</v>
      </c>
      <c r="J149" s="98">
        <f t="shared" ref="J149:K149" si="286">IF(J$129 = 0, 0, J117 / J$129)</f>
        <v>0</v>
      </c>
      <c r="K149" s="98">
        <f t="shared" si="286"/>
        <v>0</v>
      </c>
      <c r="L149" s="98">
        <f t="shared" ref="L149:M149" si="287">IF(L$129 = 0, 0, L117 / L$129)</f>
        <v>0</v>
      </c>
      <c r="M149" s="98">
        <f t="shared" si="287"/>
        <v>0</v>
      </c>
      <c r="N149" s="98">
        <f t="shared" ref="N149:P149" si="288">IF(N$129 = 0, 0, N117 / N$129)</f>
        <v>0</v>
      </c>
      <c r="O149" s="98">
        <f t="shared" si="288"/>
        <v>0</v>
      </c>
      <c r="P149" s="98">
        <f t="shared" si="288"/>
        <v>0</v>
      </c>
      <c r="Q149" s="98">
        <f t="shared" ref="Q149:S149" si="289">IF(Q$129 = 0, 0, Q117 / Q$129)</f>
        <v>0</v>
      </c>
      <c r="R149" s="98">
        <f t="shared" si="289"/>
        <v>0</v>
      </c>
      <c r="S149" s="98">
        <f t="shared" si="289"/>
        <v>0</v>
      </c>
      <c r="T149" s="98">
        <f t="shared" ref="T149:V149" si="290">IF(T$129 = 0, 0, T117 / T$129)</f>
        <v>0</v>
      </c>
      <c r="U149" s="98">
        <f t="shared" si="290"/>
        <v>0</v>
      </c>
      <c r="V149" s="98">
        <f t="shared" si="290"/>
        <v>0</v>
      </c>
      <c r="W149" s="98">
        <f t="shared" ref="W149:X149" si="291">IF(W$129 = 0, 0, W117 / W$129)</f>
        <v>0</v>
      </c>
      <c r="X149" s="98">
        <f t="shared" si="291"/>
        <v>0</v>
      </c>
      <c r="Y149" s="98">
        <f t="shared" ref="Y149:Z149" si="292">IF(Y$129 = 0, 0, Y117 / Y$129)</f>
        <v>0</v>
      </c>
      <c r="Z149" s="98">
        <f t="shared" si="292"/>
        <v>0</v>
      </c>
      <c r="AA149" s="98">
        <f t="shared" ref="AA149:AB149" si="293">IF(AA$129 = 0, 0, AA117 / AA$129)</f>
        <v>0</v>
      </c>
      <c r="AB149" s="98">
        <f t="shared" si="293"/>
        <v>0</v>
      </c>
    </row>
    <row r="150" spans="3:30" x14ac:dyDescent="0.25">
      <c r="C150" s="88"/>
      <c r="F150" t="s">
        <v>193</v>
      </c>
      <c r="G150" t="s">
        <v>269</v>
      </c>
      <c r="J150" s="98">
        <f t="shared" ref="J150:K150" si="294">IF(J$129 = 0, 0, J118 / J$129)</f>
        <v>0</v>
      </c>
      <c r="K150" s="98">
        <f t="shared" si="294"/>
        <v>0</v>
      </c>
      <c r="L150" s="98">
        <f t="shared" ref="L150:M150" si="295">IF(L$129 = 0, 0, L118 / L$129)</f>
        <v>0</v>
      </c>
      <c r="M150" s="98">
        <f t="shared" si="295"/>
        <v>0</v>
      </c>
      <c r="N150" s="98">
        <f t="shared" ref="N150:P150" si="296">IF(N$129 = 0, 0, N118 / N$129)</f>
        <v>0</v>
      </c>
      <c r="O150" s="98">
        <f t="shared" si="296"/>
        <v>0</v>
      </c>
      <c r="P150" s="98">
        <f t="shared" si="296"/>
        <v>0</v>
      </c>
      <c r="Q150" s="98">
        <f t="shared" ref="Q150:S150" si="297">IF(Q$129 = 0, 0, Q118 / Q$129)</f>
        <v>0</v>
      </c>
      <c r="R150" s="98">
        <f t="shared" si="297"/>
        <v>0</v>
      </c>
      <c r="S150" s="98">
        <f t="shared" si="297"/>
        <v>0</v>
      </c>
      <c r="T150" s="98">
        <f t="shared" ref="T150:V150" si="298">IF(T$129 = 0, 0, T118 / T$129)</f>
        <v>0</v>
      </c>
      <c r="U150" s="98">
        <f t="shared" si="298"/>
        <v>0</v>
      </c>
      <c r="V150" s="98">
        <f t="shared" si="298"/>
        <v>0</v>
      </c>
      <c r="W150" s="98">
        <f t="shared" ref="W150:X150" si="299">IF(W$129 = 0, 0, W118 / W$129)</f>
        <v>0</v>
      </c>
      <c r="X150" s="98">
        <f t="shared" si="299"/>
        <v>0</v>
      </c>
      <c r="Y150" s="98">
        <f t="shared" ref="Y150:Z150" si="300">IF(Y$129 = 0, 0, Y118 / Y$129)</f>
        <v>0</v>
      </c>
      <c r="Z150" s="98">
        <f t="shared" si="300"/>
        <v>0</v>
      </c>
      <c r="AA150" s="98">
        <f t="shared" ref="AA150:AB150" si="301">IF(AA$129 = 0, 0, AA118 / AA$129)</f>
        <v>0</v>
      </c>
      <c r="AB150" s="98">
        <f t="shared" si="301"/>
        <v>0</v>
      </c>
    </row>
    <row r="151" spans="3:30" x14ac:dyDescent="0.25">
      <c r="C151" s="88"/>
      <c r="F151" t="s">
        <v>194</v>
      </c>
      <c r="G151" t="s">
        <v>269</v>
      </c>
      <c r="J151" s="98">
        <f t="shared" ref="J151:K151" si="302">IF(J$129 = 0, 0, J119 / J$129)</f>
        <v>0</v>
      </c>
      <c r="K151" s="98">
        <f t="shared" si="302"/>
        <v>0</v>
      </c>
      <c r="L151" s="98">
        <f t="shared" ref="L151:M151" si="303">IF(L$129 = 0, 0, L119 / L$129)</f>
        <v>0</v>
      </c>
      <c r="M151" s="98">
        <f t="shared" si="303"/>
        <v>0</v>
      </c>
      <c r="N151" s="98">
        <f t="shared" ref="N151:P151" si="304">IF(N$129 = 0, 0, N119 / N$129)</f>
        <v>0</v>
      </c>
      <c r="O151" s="98">
        <f t="shared" si="304"/>
        <v>0</v>
      </c>
      <c r="P151" s="98">
        <f t="shared" si="304"/>
        <v>0</v>
      </c>
      <c r="Q151" s="98">
        <f t="shared" ref="Q151:S151" si="305">IF(Q$129 = 0, 0, Q119 / Q$129)</f>
        <v>0</v>
      </c>
      <c r="R151" s="98">
        <f t="shared" si="305"/>
        <v>0</v>
      </c>
      <c r="S151" s="98">
        <f t="shared" si="305"/>
        <v>0</v>
      </c>
      <c r="T151" s="98">
        <f t="shared" ref="T151:V151" si="306">IF(T$129 = 0, 0, T119 / T$129)</f>
        <v>0</v>
      </c>
      <c r="U151" s="98">
        <f t="shared" si="306"/>
        <v>0</v>
      </c>
      <c r="V151" s="98">
        <f t="shared" si="306"/>
        <v>0</v>
      </c>
      <c r="W151" s="98">
        <f t="shared" ref="W151:X151" si="307">IF(W$129 = 0, 0, W119 / W$129)</f>
        <v>0</v>
      </c>
      <c r="X151" s="98">
        <f t="shared" si="307"/>
        <v>0</v>
      </c>
      <c r="Y151" s="98">
        <f t="shared" ref="Y151:Z151" si="308">IF(Y$129 = 0, 0, Y119 / Y$129)</f>
        <v>0</v>
      </c>
      <c r="Z151" s="98">
        <f t="shared" si="308"/>
        <v>0</v>
      </c>
      <c r="AA151" s="98">
        <f t="shared" ref="AA151:AB151" si="309">IF(AA$129 = 0, 0, AA119 / AA$129)</f>
        <v>0</v>
      </c>
      <c r="AB151" s="98">
        <f t="shared" si="309"/>
        <v>0</v>
      </c>
    </row>
    <row r="152" spans="3:30" x14ac:dyDescent="0.25">
      <c r="C152" s="88"/>
      <c r="F152" t="s">
        <v>195</v>
      </c>
      <c r="G152" t="s">
        <v>269</v>
      </c>
      <c r="J152" s="98">
        <f t="shared" ref="J152:K152" si="310">IF(J$129 = 0, 0, J120 / J$129)</f>
        <v>0</v>
      </c>
      <c r="K152" s="98">
        <f t="shared" si="310"/>
        <v>0</v>
      </c>
      <c r="L152" s="98">
        <f t="shared" ref="L152:M152" si="311">IF(L$129 = 0, 0, L120 / L$129)</f>
        <v>0</v>
      </c>
      <c r="M152" s="98">
        <f t="shared" si="311"/>
        <v>0</v>
      </c>
      <c r="N152" s="98">
        <f t="shared" ref="N152:P152" si="312">IF(N$129 = 0, 0, N120 / N$129)</f>
        <v>0</v>
      </c>
      <c r="O152" s="98">
        <f t="shared" si="312"/>
        <v>0</v>
      </c>
      <c r="P152" s="98">
        <f t="shared" si="312"/>
        <v>0</v>
      </c>
      <c r="Q152" s="98">
        <f t="shared" ref="Q152:S152" si="313">IF(Q$129 = 0, 0, Q120 / Q$129)</f>
        <v>0</v>
      </c>
      <c r="R152" s="98">
        <f t="shared" si="313"/>
        <v>0</v>
      </c>
      <c r="S152" s="98">
        <f t="shared" si="313"/>
        <v>0</v>
      </c>
      <c r="T152" s="98">
        <f t="shared" ref="T152:V152" si="314">IF(T$129 = 0, 0, T120 / T$129)</f>
        <v>0</v>
      </c>
      <c r="U152" s="98">
        <f t="shared" si="314"/>
        <v>0</v>
      </c>
      <c r="V152" s="98">
        <f t="shared" si="314"/>
        <v>0</v>
      </c>
      <c r="W152" s="98">
        <f t="shared" ref="W152:X152" si="315">IF(W$129 = 0, 0, W120 / W$129)</f>
        <v>0</v>
      </c>
      <c r="X152" s="98">
        <f t="shared" si="315"/>
        <v>0</v>
      </c>
      <c r="Y152" s="98">
        <f t="shared" ref="Y152:Z152" si="316">IF(Y$129 = 0, 0, Y120 / Y$129)</f>
        <v>0</v>
      </c>
      <c r="Z152" s="98">
        <f t="shared" si="316"/>
        <v>0</v>
      </c>
      <c r="AA152" s="98">
        <f t="shared" ref="AA152:AB152" si="317">IF(AA$129 = 0, 0, AA120 / AA$129)</f>
        <v>0</v>
      </c>
      <c r="AB152" s="98">
        <f t="shared" si="317"/>
        <v>0</v>
      </c>
    </row>
    <row r="153" spans="3:30" x14ac:dyDescent="0.25">
      <c r="C153" s="88"/>
      <c r="F153" t="s">
        <v>196</v>
      </c>
      <c r="G153" t="s">
        <v>269</v>
      </c>
      <c r="J153" s="98">
        <f t="shared" ref="J153:K153" si="318">IF(J$129 = 0, 0, J121 / J$129)</f>
        <v>0</v>
      </c>
      <c r="K153" s="98">
        <f t="shared" si="318"/>
        <v>0</v>
      </c>
      <c r="L153" s="98">
        <f t="shared" ref="L153:M153" si="319">IF(L$129 = 0, 0, L121 / L$129)</f>
        <v>0</v>
      </c>
      <c r="M153" s="98">
        <f t="shared" si="319"/>
        <v>0</v>
      </c>
      <c r="N153" s="98">
        <f t="shared" ref="N153:P153" si="320">IF(N$129 = 0, 0, N121 / N$129)</f>
        <v>0</v>
      </c>
      <c r="O153" s="98">
        <f t="shared" si="320"/>
        <v>0</v>
      </c>
      <c r="P153" s="98">
        <f t="shared" si="320"/>
        <v>0</v>
      </c>
      <c r="Q153" s="98">
        <f t="shared" ref="Q153:S153" si="321">IF(Q$129 = 0, 0, Q121 / Q$129)</f>
        <v>0</v>
      </c>
      <c r="R153" s="98">
        <f t="shared" si="321"/>
        <v>0</v>
      </c>
      <c r="S153" s="98">
        <f t="shared" si="321"/>
        <v>0</v>
      </c>
      <c r="T153" s="98">
        <f t="shared" ref="T153:V153" si="322">IF(T$129 = 0, 0, T121 / T$129)</f>
        <v>0</v>
      </c>
      <c r="U153" s="98">
        <f t="shared" si="322"/>
        <v>0</v>
      </c>
      <c r="V153" s="98">
        <f t="shared" si="322"/>
        <v>0</v>
      </c>
      <c r="W153" s="98">
        <f t="shared" ref="W153:X153" si="323">IF(W$129 = 0, 0, W121 / W$129)</f>
        <v>0</v>
      </c>
      <c r="X153" s="98">
        <f t="shared" si="323"/>
        <v>0</v>
      </c>
      <c r="Y153" s="98">
        <f t="shared" ref="Y153:Z153" si="324">IF(Y$129 = 0, 0, Y121 / Y$129)</f>
        <v>0</v>
      </c>
      <c r="Z153" s="98">
        <f t="shared" si="324"/>
        <v>0</v>
      </c>
      <c r="AA153" s="98">
        <f t="shared" ref="AA153:AB153" si="325">IF(AA$129 = 0, 0, AA121 / AA$129)</f>
        <v>0</v>
      </c>
      <c r="AB153" s="98">
        <f t="shared" si="325"/>
        <v>0</v>
      </c>
    </row>
    <row r="154" spans="3:30" x14ac:dyDescent="0.25">
      <c r="C154" s="88"/>
      <c r="F154" t="s">
        <v>197</v>
      </c>
      <c r="G154" t="s">
        <v>269</v>
      </c>
      <c r="J154" s="98">
        <f t="shared" ref="J154:K154" si="326">IF(J$129 = 0, 0, J122 / J$129)</f>
        <v>0</v>
      </c>
      <c r="K154" s="98">
        <f t="shared" si="326"/>
        <v>0</v>
      </c>
      <c r="L154" s="98">
        <f t="shared" ref="L154:M154" si="327">IF(L$129 = 0, 0, L122 / L$129)</f>
        <v>0</v>
      </c>
      <c r="M154" s="98">
        <f t="shared" si="327"/>
        <v>0</v>
      </c>
      <c r="N154" s="98">
        <f t="shared" ref="N154:P154" si="328">IF(N$129 = 0, 0, N122 / N$129)</f>
        <v>0</v>
      </c>
      <c r="O154" s="98">
        <f t="shared" si="328"/>
        <v>0</v>
      </c>
      <c r="P154" s="98">
        <f t="shared" si="328"/>
        <v>0</v>
      </c>
      <c r="Q154" s="98">
        <f t="shared" ref="Q154:S154" si="329">IF(Q$129 = 0, 0, Q122 / Q$129)</f>
        <v>0</v>
      </c>
      <c r="R154" s="98">
        <f t="shared" si="329"/>
        <v>0</v>
      </c>
      <c r="S154" s="98">
        <f t="shared" si="329"/>
        <v>0</v>
      </c>
      <c r="T154" s="98">
        <f t="shared" ref="T154:V154" si="330">IF(T$129 = 0, 0, T122 / T$129)</f>
        <v>0</v>
      </c>
      <c r="U154" s="98">
        <f t="shared" si="330"/>
        <v>0</v>
      </c>
      <c r="V154" s="98">
        <f t="shared" si="330"/>
        <v>0</v>
      </c>
      <c r="W154" s="98">
        <f t="shared" ref="W154:X154" si="331">IF(W$129 = 0, 0, W122 / W$129)</f>
        <v>0</v>
      </c>
      <c r="X154" s="98">
        <f t="shared" si="331"/>
        <v>0</v>
      </c>
      <c r="Y154" s="98">
        <f t="shared" ref="Y154:Z154" si="332">IF(Y$129 = 0, 0, Y122 / Y$129)</f>
        <v>0</v>
      </c>
      <c r="Z154" s="98">
        <f t="shared" si="332"/>
        <v>0</v>
      </c>
      <c r="AA154" s="98">
        <f t="shared" ref="AA154:AB154" si="333">IF(AA$129 = 0, 0, AA122 / AA$129)</f>
        <v>0</v>
      </c>
      <c r="AB154" s="98">
        <f t="shared" si="333"/>
        <v>0</v>
      </c>
    </row>
    <row r="155" spans="3:30" x14ac:dyDescent="0.25">
      <c r="C155" s="88"/>
      <c r="F155" t="s">
        <v>198</v>
      </c>
      <c r="G155" t="s">
        <v>269</v>
      </c>
      <c r="J155" s="98">
        <f t="shared" ref="J155:K155" si="334">IF(J$129 = 0, 0, J123 / J$129)</f>
        <v>0.80149569208201832</v>
      </c>
      <c r="K155" s="98">
        <f t="shared" si="334"/>
        <v>0</v>
      </c>
      <c r="L155" s="98">
        <f t="shared" ref="L155:M155" si="335">IF(L$129 = 0, 0, L123 / L$129)</f>
        <v>0.80149569208201832</v>
      </c>
      <c r="M155" s="98">
        <f t="shared" si="335"/>
        <v>0</v>
      </c>
      <c r="N155" s="98">
        <f t="shared" ref="N155:P155" si="336">IF(N$129 = 0, 0, N123 / N$129)</f>
        <v>0</v>
      </c>
      <c r="O155" s="98">
        <f t="shared" si="336"/>
        <v>0</v>
      </c>
      <c r="P155" s="98">
        <f t="shared" si="336"/>
        <v>0</v>
      </c>
      <c r="Q155" s="98">
        <f t="shared" ref="Q155:S155" si="337">IF(Q$129 = 0, 0, Q123 / Q$129)</f>
        <v>0</v>
      </c>
      <c r="R155" s="98">
        <f t="shared" si="337"/>
        <v>0</v>
      </c>
      <c r="S155" s="98">
        <f t="shared" si="337"/>
        <v>0</v>
      </c>
      <c r="T155" s="98">
        <f t="shared" ref="T155:V155" si="338">IF(T$129 = 0, 0, T123 / T$129)</f>
        <v>0</v>
      </c>
      <c r="U155" s="98">
        <f t="shared" si="338"/>
        <v>0</v>
      </c>
      <c r="V155" s="98">
        <f t="shared" si="338"/>
        <v>0</v>
      </c>
      <c r="W155" s="98">
        <f t="shared" ref="W155:X155" si="339">IF(W$129 = 0, 0, W123 / W$129)</f>
        <v>0</v>
      </c>
      <c r="X155" s="98">
        <f t="shared" si="339"/>
        <v>0</v>
      </c>
      <c r="Y155" s="98">
        <f t="shared" ref="Y155:Z155" si="340">IF(Y$129 = 0, 0, Y123 / Y$129)</f>
        <v>0</v>
      </c>
      <c r="Z155" s="98">
        <f t="shared" si="340"/>
        <v>0</v>
      </c>
      <c r="AA155" s="98">
        <f t="shared" ref="AA155:AB155" si="341">IF(AA$129 = 0, 0, AA123 / AA$129)</f>
        <v>0</v>
      </c>
      <c r="AB155" s="98">
        <f t="shared" si="341"/>
        <v>0</v>
      </c>
    </row>
    <row r="156" spans="3:30" x14ac:dyDescent="0.25">
      <c r="C156" s="88"/>
      <c r="D156"/>
      <c r="F156" s="23" t="s">
        <v>375</v>
      </c>
      <c r="G156" s="23" t="s">
        <v>269</v>
      </c>
      <c r="H156" s="23"/>
      <c r="I156" s="23"/>
      <c r="J156" s="126">
        <f t="shared" ref="J156:K156" si="342">J55</f>
        <v>3.6874179557529576</v>
      </c>
      <c r="K156" s="126">
        <f t="shared" si="342"/>
        <v>0</v>
      </c>
      <c r="L156" s="126">
        <f t="shared" ref="L156:M156" si="343">L55</f>
        <v>4.9668358088147135</v>
      </c>
      <c r="M156" s="126">
        <f t="shared" si="343"/>
        <v>0</v>
      </c>
      <c r="N156" s="126">
        <f t="shared" ref="N156:P156" si="344">N55</f>
        <v>23.235516904135658</v>
      </c>
      <c r="O156" s="126">
        <f t="shared" si="344"/>
        <v>8.2007706720478808</v>
      </c>
      <c r="P156" s="126">
        <f t="shared" si="344"/>
        <v>0</v>
      </c>
      <c r="Q156" s="126">
        <f t="shared" ref="Q156:S156" si="345">Q55</f>
        <v>23.235516904135658</v>
      </c>
      <c r="R156" s="126">
        <f t="shared" si="345"/>
        <v>8.2007706720478808</v>
      </c>
      <c r="S156" s="126">
        <f t="shared" si="345"/>
        <v>0</v>
      </c>
      <c r="T156" s="126">
        <f t="shared" ref="T156:V156" si="346">T55</f>
        <v>0</v>
      </c>
      <c r="U156" s="126">
        <f t="shared" si="346"/>
        <v>0</v>
      </c>
      <c r="V156" s="126">
        <f t="shared" si="346"/>
        <v>0</v>
      </c>
      <c r="W156" s="126">
        <f t="shared" ref="W156:X156" si="347">W55</f>
        <v>0</v>
      </c>
      <c r="X156" s="126">
        <f t="shared" si="347"/>
        <v>0</v>
      </c>
      <c r="Y156" s="126">
        <f t="shared" ref="Y156:Z156" si="348">Y55</f>
        <v>0</v>
      </c>
      <c r="Z156" s="126">
        <f t="shared" si="348"/>
        <v>0</v>
      </c>
      <c r="AA156" s="126">
        <f t="shared" ref="AA156:AB156" si="349">AA55</f>
        <v>0</v>
      </c>
      <c r="AB156" s="126">
        <f t="shared" si="349"/>
        <v>0</v>
      </c>
    </row>
    <row r="157" spans="3:30" x14ac:dyDescent="0.25">
      <c r="C157" s="88"/>
      <c r="D157"/>
      <c r="F157" s="37" t="s">
        <v>376</v>
      </c>
      <c r="G157" s="37" t="s">
        <v>269</v>
      </c>
      <c r="H157" s="37"/>
      <c r="I157" s="37"/>
      <c r="J157" s="100">
        <f t="shared" ref="J157:K157" si="350">J56</f>
        <v>0</v>
      </c>
      <c r="K157" s="100">
        <f t="shared" si="350"/>
        <v>0</v>
      </c>
      <c r="L157" s="100">
        <f t="shared" ref="L157:M157" si="351">L56</f>
        <v>0</v>
      </c>
      <c r="M157" s="100">
        <f t="shared" si="351"/>
        <v>0</v>
      </c>
      <c r="N157" s="100">
        <f t="shared" ref="N157:P157" si="352">N56</f>
        <v>0</v>
      </c>
      <c r="O157" s="100">
        <f t="shared" si="352"/>
        <v>0</v>
      </c>
      <c r="P157" s="100">
        <f t="shared" si="352"/>
        <v>124.16460347195436</v>
      </c>
      <c r="Q157" s="100">
        <f t="shared" ref="Q157:S157" si="353">Q56</f>
        <v>0</v>
      </c>
      <c r="R157" s="100">
        <f t="shared" si="353"/>
        <v>0</v>
      </c>
      <c r="S157" s="100">
        <f t="shared" si="353"/>
        <v>124.16460347195436</v>
      </c>
      <c r="T157" s="100">
        <f t="shared" ref="T157:V157" si="354">T56</f>
        <v>0</v>
      </c>
      <c r="U157" s="100">
        <f t="shared" si="354"/>
        <v>0</v>
      </c>
      <c r="V157" s="100">
        <f t="shared" si="354"/>
        <v>0</v>
      </c>
      <c r="W157" s="100">
        <f t="shared" ref="W157:X157" si="355">W56</f>
        <v>0</v>
      </c>
      <c r="X157" s="100">
        <f t="shared" si="355"/>
        <v>0</v>
      </c>
      <c r="Y157" s="100">
        <f t="shared" ref="Y157:Z157" si="356">Y56</f>
        <v>0</v>
      </c>
      <c r="Z157" s="100">
        <f t="shared" si="356"/>
        <v>0</v>
      </c>
      <c r="AA157" s="100">
        <f t="shared" ref="AA157:AB157" si="357">AA56</f>
        <v>90.667330037272208</v>
      </c>
      <c r="AB157" s="100">
        <f t="shared" si="357"/>
        <v>90.667330037272208</v>
      </c>
    </row>
    <row r="158" spans="3:30" x14ac:dyDescent="0.25">
      <c r="C158" s="88"/>
      <c r="J158" s="89"/>
      <c r="K158" s="89"/>
      <c r="L158" s="89"/>
      <c r="M158" s="89"/>
      <c r="N158" s="89"/>
      <c r="O158" s="89"/>
      <c r="P158" s="89"/>
      <c r="Q158" s="89"/>
      <c r="R158" s="89"/>
      <c r="S158" s="89"/>
      <c r="T158" s="89"/>
      <c r="U158" s="89"/>
      <c r="V158" s="89"/>
      <c r="W158" s="89"/>
      <c r="X158" s="89"/>
      <c r="Y158" s="89"/>
      <c r="Z158" s="89"/>
      <c r="AA158" s="89"/>
      <c r="AB158" s="89"/>
    </row>
    <row r="159" spans="3:30" x14ac:dyDescent="0.25">
      <c r="C159" s="31" t="str">
        <f ca="1">INDEX('Version control'!$H$34:$H$57,MATCH($A$1,'Version control'!$F$34:$F$57,0),1)&amp;"-H: Aggregated fixed charges"</f>
        <v>Section 114-H: Aggregated fixed charges</v>
      </c>
      <c r="D159" s="31"/>
      <c r="E159" s="31"/>
      <c r="F159" s="31"/>
      <c r="G159" s="31"/>
      <c r="H159" s="31"/>
      <c r="I159" s="31"/>
      <c r="J159" s="90"/>
      <c r="K159" s="90"/>
      <c r="L159" s="90"/>
      <c r="M159" s="90"/>
      <c r="N159" s="90"/>
      <c r="O159" s="90"/>
      <c r="P159" s="90"/>
      <c r="Q159" s="90"/>
      <c r="R159" s="90"/>
      <c r="S159" s="90"/>
      <c r="T159" s="90"/>
      <c r="U159" s="90"/>
      <c r="V159" s="90"/>
      <c r="W159" s="90"/>
      <c r="X159" s="90"/>
      <c r="Y159" s="90"/>
      <c r="Z159" s="90"/>
      <c r="AA159" s="90"/>
      <c r="AB159" s="90"/>
      <c r="AC159" s="31"/>
      <c r="AD159" s="31"/>
    </row>
    <row r="160" spans="3:30" x14ac:dyDescent="0.25">
      <c r="C160" s="88"/>
      <c r="J160" s="89"/>
      <c r="K160" s="89"/>
      <c r="L160" s="89"/>
      <c r="M160" s="89"/>
      <c r="N160" s="89"/>
      <c r="O160" s="89"/>
      <c r="P160" s="89"/>
      <c r="Q160" s="89"/>
      <c r="R160" s="89"/>
      <c r="S160" s="89"/>
      <c r="T160" s="89"/>
      <c r="U160" s="89"/>
      <c r="V160" s="89"/>
      <c r="W160" s="89"/>
      <c r="X160" s="89"/>
      <c r="Y160" s="89"/>
      <c r="Z160" s="89"/>
      <c r="AA160" s="89"/>
      <c r="AB160" s="89"/>
    </row>
    <row r="161" spans="2:30" x14ac:dyDescent="0.25">
      <c r="E161" t="s">
        <v>158</v>
      </c>
      <c r="G161" t="s">
        <v>269</v>
      </c>
      <c r="J161" s="121">
        <f t="shared" ref="J161:K161" si="358">SUM(J132:J143,J146:J157)</f>
        <v>4.5716420838261662</v>
      </c>
      <c r="K161" s="121">
        <f t="shared" si="358"/>
        <v>0</v>
      </c>
      <c r="L161" s="121">
        <f t="shared" ref="L161:M161" si="359">SUM(L132:L143,L146:L157)</f>
        <v>5.8510599368879221</v>
      </c>
      <c r="M161" s="121">
        <f t="shared" si="359"/>
        <v>0</v>
      </c>
      <c r="N161" s="121">
        <f t="shared" ref="N161:P161" si="360">SUM(N132:N143,N146:N157)</f>
        <v>23.235516904135658</v>
      </c>
      <c r="O161" s="121">
        <f t="shared" si="360"/>
        <v>8.2007706720478808</v>
      </c>
      <c r="P161" s="121">
        <f t="shared" si="360"/>
        <v>124.16460347195436</v>
      </c>
      <c r="Q161" s="121">
        <f t="shared" ref="Q161:S161" si="361">SUM(Q132:Q143,Q146:Q157)</f>
        <v>23.235516904135658</v>
      </c>
      <c r="R161" s="121">
        <f t="shared" si="361"/>
        <v>8.2007706720478808</v>
      </c>
      <c r="S161" s="121">
        <f t="shared" si="361"/>
        <v>124.16460347195436</v>
      </c>
      <c r="T161" s="121">
        <f t="shared" ref="T161:V161" si="362">SUM(T132:T143,T146:T157)</f>
        <v>0</v>
      </c>
      <c r="U161" s="121">
        <f t="shared" si="362"/>
        <v>0</v>
      </c>
      <c r="V161" s="121">
        <f t="shared" si="362"/>
        <v>0</v>
      </c>
      <c r="W161" s="121">
        <f t="shared" ref="W161:X161" si="363">SUM(W132:W143,W146:W157)</f>
        <v>0</v>
      </c>
      <c r="X161" s="121">
        <f t="shared" si="363"/>
        <v>0</v>
      </c>
      <c r="Y161" s="121">
        <f t="shared" ref="Y161:Z161" si="364">SUM(Y132:Y143,Y146:Y157)</f>
        <v>0</v>
      </c>
      <c r="Z161" s="121">
        <f t="shared" si="364"/>
        <v>0</v>
      </c>
      <c r="AA161" s="121">
        <f t="shared" ref="AA161" si="365">SUM(AA132:AA143,AA146:AA157)</f>
        <v>90.667330037272208</v>
      </c>
      <c r="AB161" s="121">
        <f>SUM(AB132:AB143,AB146:AB157)</f>
        <v>90.667330037272208</v>
      </c>
    </row>
    <row r="163" spans="2:30" x14ac:dyDescent="0.25">
      <c r="B163" s="30" t="s">
        <v>230</v>
      </c>
      <c r="C163" s="30"/>
      <c r="D163" s="30"/>
      <c r="E163" s="30"/>
      <c r="F163" s="30"/>
      <c r="G163" s="30"/>
      <c r="H163" s="30"/>
      <c r="I163" s="30"/>
      <c r="J163" s="30"/>
      <c r="K163" s="30"/>
      <c r="L163" s="30"/>
      <c r="M163" s="30"/>
      <c r="N163" s="30"/>
      <c r="O163" s="30"/>
      <c r="P163" s="30"/>
      <c r="Q163" s="30"/>
      <c r="R163" s="30"/>
      <c r="S163" s="30"/>
      <c r="T163" s="30"/>
      <c r="U163" s="30"/>
      <c r="V163" s="30"/>
      <c r="W163" s="30"/>
      <c r="X163" s="30"/>
      <c r="Y163" s="30"/>
      <c r="Z163" s="30"/>
      <c r="AA163" s="30"/>
      <c r="AB163" s="30"/>
      <c r="AC163" s="30"/>
      <c r="AD163" s="30"/>
    </row>
    <row r="165" spans="2:30" x14ac:dyDescent="0.25">
      <c r="C165" s="88"/>
      <c r="E165" t="s">
        <v>231</v>
      </c>
      <c r="G165" s="6" t="s">
        <v>54</v>
      </c>
      <c r="H165" s="26">
        <f t="array" ref="H165">SUM(IF(ISERROR(H18:AB161), 1))</f>
        <v>0</v>
      </c>
    </row>
    <row r="167" spans="2:30" x14ac:dyDescent="0.25">
      <c r="B167" s="30" t="s">
        <v>105</v>
      </c>
      <c r="C167" s="30"/>
      <c r="D167" s="30"/>
      <c r="E167" s="30"/>
      <c r="F167" s="30"/>
      <c r="G167" s="30"/>
      <c r="H167" s="30"/>
      <c r="I167" s="30"/>
      <c r="J167" s="30"/>
      <c r="K167" s="30"/>
      <c r="L167" s="30"/>
      <c r="M167" s="30"/>
      <c r="N167" s="30"/>
      <c r="O167" s="30"/>
      <c r="P167" s="30"/>
      <c r="Q167" s="30"/>
      <c r="R167" s="30"/>
      <c r="S167" s="30"/>
      <c r="T167" s="30"/>
      <c r="U167" s="30"/>
      <c r="V167" s="30"/>
      <c r="W167" s="30"/>
      <c r="X167" s="30"/>
      <c r="Y167" s="30"/>
      <c r="Z167" s="30"/>
      <c r="AA167" s="30"/>
      <c r="AB167" s="30"/>
      <c r="AC167" s="30"/>
      <c r="AD167" s="30"/>
    </row>
    <row r="169" spans="2:30" x14ac:dyDescent="0.25">
      <c r="C169" s="88"/>
    </row>
  </sheetData>
  <sheetProtection sheet="1" objects="1" formatCells="0" formatColumns="0" formatRows="0" sort="0" autoFilter="0"/>
  <conditionalFormatting sqref="H165">
    <cfRule type="cellIs" dxfId="51" priority="10" operator="greaterThan">
      <formula>0</formula>
    </cfRule>
  </conditionalFormatting>
  <conditionalFormatting sqref="A4:I4 AC4:XFD4">
    <cfRule type="expression" dxfId="50" priority="9">
      <formula>LEFT($A$4,1) &lt;&gt; "0"</formula>
    </cfRule>
  </conditionalFormatting>
  <conditionalFormatting sqref="N4:S4">
    <cfRule type="expression" dxfId="49" priority="8">
      <formula>LEFT($A$4,1) &lt;&gt; "0"</formula>
    </cfRule>
  </conditionalFormatting>
  <conditionalFormatting sqref="L4:M4">
    <cfRule type="expression" dxfId="48" priority="7">
      <formula>LEFT($A$4,1) &lt;&gt; "0"</formula>
    </cfRule>
  </conditionalFormatting>
  <conditionalFormatting sqref="J4:K4">
    <cfRule type="expression" dxfId="47" priority="6">
      <formula>LEFT($A$4,1) &lt;&gt; "0"</formula>
    </cfRule>
  </conditionalFormatting>
  <conditionalFormatting sqref="T4">
    <cfRule type="expression" dxfId="46" priority="5">
      <formula>LEFT($A$4,1) &lt;&gt; "0"</formula>
    </cfRule>
  </conditionalFormatting>
  <conditionalFormatting sqref="U4:V4">
    <cfRule type="expression" dxfId="45" priority="4">
      <formula>LEFT($A$4,1) &lt;&gt; "0"</formula>
    </cfRule>
  </conditionalFormatting>
  <conditionalFormatting sqref="W4:X4">
    <cfRule type="expression" dxfId="44" priority="3">
      <formula>LEFT($A$4,1) &lt;&gt; "0"</formula>
    </cfRule>
  </conditionalFormatting>
  <conditionalFormatting sqref="Y4:Z4">
    <cfRule type="expression" dxfId="43" priority="2">
      <formula>LEFT($A$4,1) &lt;&gt; "0"</formula>
    </cfRule>
  </conditionalFormatting>
  <conditionalFormatting sqref="AA4:AB4">
    <cfRule type="expression" dxfId="42" priority="1">
      <formula>LEFT($A$4,1) &lt;&gt; "0"</formula>
    </cfRule>
  </conditionalFormatting>
  <hyperlinks>
    <hyperlink ref="B5:F5" location="'Model map'!A1" display="Click here to return to model map" xr:uid="{00000000-0004-0000-1600-000000000000}"/>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4">
    <tabColor theme="4" tint="0.59999389629810485"/>
    <pageSetUpPr fitToPage="1"/>
  </sheetPr>
  <dimension ref="A1:OW164"/>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outlineLevelRow="1" x14ac:dyDescent="0.25"/>
  <cols>
    <col min="1" max="3" width="2.5703125" customWidth="1"/>
    <col min="4" max="5" width="2.5703125" style="2" customWidth="1"/>
    <col min="6" max="6" width="59.5703125" customWidth="1"/>
    <col min="7" max="8" width="20.5703125" customWidth="1"/>
    <col min="9" max="9" width="2.42578125" customWidth="1"/>
    <col min="10" max="66" width="17" customWidth="1"/>
    <col min="67" max="67" width="2.42578125" customWidth="1"/>
    <col min="68" max="68" width="50.5703125" customWidth="1"/>
    <col min="69" max="69" width="2.42578125" customWidth="1"/>
    <col min="70" max="70" width="24.5703125" hidden="1" customWidth="1"/>
    <col min="71" max="71" width="3.5703125" hidden="1" customWidth="1"/>
    <col min="72" max="72" width="15.42578125" hidden="1" customWidth="1"/>
    <col min="73" max="413" width="24.5703125" hidden="1" customWidth="1"/>
    <col min="414" max="16384" width="8.5703125" hidden="1"/>
  </cols>
  <sheetData>
    <row r="1" spans="1:68" s="1" customFormat="1" x14ac:dyDescent="0.25">
      <c r="A1" s="1" t="str">
        <f ca="1">MID(CELL("filename",A1),FIND("]",CELL("filename",A1))+1,255)</f>
        <v>Revenue matching</v>
      </c>
    </row>
    <row r="2" spans="1:68" s="1" customFormat="1" x14ac:dyDescent="0.25">
      <c r="A2" s="1" t="str">
        <f>Cover!D21&amp;" - "&amp;Cover!D23</f>
        <v>SP Distribution - Two</v>
      </c>
    </row>
    <row r="3" spans="1:68" s="5" customFormat="1" x14ac:dyDescent="0.25">
      <c r="A3" s="5" t="str">
        <f>Cover!D2&amp;" - "&amp;Cover!D8&amp;" v"&amp;Cover!D10&amp;" - "&amp;Cover!D19</f>
        <v>CDCM charging model - Release for charge setting v6 - 2021/22</v>
      </c>
    </row>
    <row r="4" spans="1:68" x14ac:dyDescent="0.25">
      <c r="A4" s="12" t="str">
        <f>H162 &amp; IF(H162 = 1, " issue", " issues") &amp;" identified in checks on this sheet"</f>
        <v>0 issues identified in checks on this sheet</v>
      </c>
      <c r="B4" s="13"/>
      <c r="C4" s="13"/>
      <c r="D4" s="13"/>
      <c r="E4" s="13"/>
      <c r="F4" s="13"/>
      <c r="G4" s="13"/>
      <c r="H4" s="14"/>
      <c r="I4" s="14"/>
    </row>
    <row r="5" spans="1:68" ht="60" x14ac:dyDescent="0.25">
      <c r="B5" s="59" t="s">
        <v>141</v>
      </c>
      <c r="C5" s="60"/>
      <c r="D5" s="60"/>
      <c r="E5" s="60"/>
      <c r="F5" s="60"/>
      <c r="G5" s="60" t="s">
        <v>142</v>
      </c>
      <c r="H5" s="114" t="s">
        <v>143</v>
      </c>
      <c r="J5" s="114" t="s">
        <v>893</v>
      </c>
      <c r="K5" s="114" t="s">
        <v>895</v>
      </c>
      <c r="L5" s="114" t="s">
        <v>894</v>
      </c>
      <c r="M5" s="114" t="s">
        <v>896</v>
      </c>
      <c r="N5" s="114" t="s">
        <v>902</v>
      </c>
      <c r="O5" s="114" t="s">
        <v>903</v>
      </c>
      <c r="P5" s="114" t="s">
        <v>904</v>
      </c>
      <c r="Q5" s="114" t="s">
        <v>1027</v>
      </c>
      <c r="R5" s="114" t="s">
        <v>1028</v>
      </c>
      <c r="S5" s="114" t="s">
        <v>1029</v>
      </c>
      <c r="T5" s="114" t="s">
        <v>905</v>
      </c>
      <c r="U5" s="114" t="s">
        <v>897</v>
      </c>
      <c r="V5" s="114" t="s">
        <v>898</v>
      </c>
      <c r="W5" s="114" t="s">
        <v>899</v>
      </c>
      <c r="X5" s="114" t="s">
        <v>908</v>
      </c>
      <c r="Y5" s="114" t="s">
        <v>900</v>
      </c>
      <c r="Z5" s="114" t="s">
        <v>907</v>
      </c>
      <c r="AA5" s="114" t="s">
        <v>901</v>
      </c>
      <c r="AB5" s="114" t="s">
        <v>906</v>
      </c>
      <c r="BP5" s="61" t="s">
        <v>144</v>
      </c>
    </row>
    <row r="6" spans="1:68" x14ac:dyDescent="0.25">
      <c r="C6" s="88"/>
    </row>
    <row r="7" spans="1:68" x14ac:dyDescent="0.25">
      <c r="B7" s="30" t="s">
        <v>9</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105"/>
      <c r="AF7" s="105"/>
      <c r="AG7" s="105"/>
      <c r="AH7" s="105"/>
      <c r="AI7" s="105"/>
      <c r="AJ7" s="105"/>
      <c r="AK7" s="105"/>
      <c r="AL7" s="105"/>
      <c r="AM7" s="105"/>
      <c r="AN7" s="105"/>
      <c r="AO7" s="105"/>
      <c r="AP7" s="105"/>
      <c r="AQ7" s="105"/>
      <c r="AR7" s="105"/>
      <c r="AS7" s="105"/>
      <c r="AT7" s="105"/>
      <c r="AU7" s="105"/>
      <c r="AV7" s="105"/>
      <c r="AW7" s="105"/>
      <c r="AX7" s="105"/>
      <c r="AY7" s="105"/>
      <c r="AZ7" s="105"/>
      <c r="BA7" s="105"/>
      <c r="BB7" s="105"/>
      <c r="BC7" s="105"/>
      <c r="BD7" s="105"/>
      <c r="BE7" s="105"/>
      <c r="BF7" s="105"/>
      <c r="BG7" s="105"/>
      <c r="BH7" s="105"/>
      <c r="BI7" s="105"/>
      <c r="BJ7" s="105"/>
      <c r="BK7" s="105"/>
      <c r="BL7" s="105"/>
      <c r="BM7" s="105"/>
      <c r="BN7" s="105"/>
      <c r="BO7" s="105"/>
      <c r="BP7" s="105"/>
    </row>
    <row r="9" spans="1:68" x14ac:dyDescent="0.25">
      <c r="D9" s="29" t="s">
        <v>729</v>
      </c>
    </row>
    <row r="10" spans="1:68" x14ac:dyDescent="0.25">
      <c r="D10" s="29" t="s">
        <v>730</v>
      </c>
      <c r="E10"/>
    </row>
    <row r="11" spans="1:68" x14ac:dyDescent="0.25">
      <c r="D11" s="29" t="s">
        <v>731</v>
      </c>
    </row>
    <row r="13" spans="1:68" x14ac:dyDescent="0.25">
      <c r="B13" s="30" t="s">
        <v>732</v>
      </c>
      <c r="C13" s="30"/>
      <c r="D13" s="30"/>
      <c r="E13" s="30"/>
      <c r="F13" s="30"/>
      <c r="G13" s="30"/>
      <c r="H13" s="30"/>
      <c r="I13" s="30"/>
      <c r="J13" s="30"/>
      <c r="K13" s="30"/>
      <c r="L13" s="30"/>
      <c r="M13" s="30"/>
      <c r="N13" s="30"/>
      <c r="O13" s="30"/>
      <c r="P13" s="30"/>
      <c r="Q13" s="30"/>
      <c r="R13" s="30"/>
      <c r="S13" s="30"/>
      <c r="T13" s="30"/>
      <c r="U13" s="30"/>
      <c r="V13" s="30"/>
      <c r="W13" s="30"/>
      <c r="X13" s="30"/>
      <c r="Y13" s="30"/>
      <c r="Z13" s="30"/>
      <c r="AA13" s="30"/>
      <c r="AB13" s="30"/>
      <c r="AC13" s="30"/>
      <c r="AD13" s="30"/>
      <c r="AE13" s="105"/>
      <c r="AF13" s="105"/>
      <c r="AG13" s="105"/>
      <c r="AH13" s="105"/>
      <c r="AI13" s="105"/>
      <c r="AJ13" s="105"/>
      <c r="AK13" s="105"/>
      <c r="AL13" s="105"/>
      <c r="AM13" s="105"/>
      <c r="AN13" s="105"/>
      <c r="AO13" s="105"/>
      <c r="AP13" s="105"/>
      <c r="AQ13" s="105"/>
      <c r="AR13" s="105"/>
      <c r="AS13" s="105"/>
      <c r="AT13" s="105"/>
      <c r="AU13" s="105"/>
      <c r="AV13" s="105"/>
      <c r="AW13" s="105"/>
      <c r="AX13" s="105"/>
      <c r="AY13" s="105"/>
      <c r="AZ13" s="105"/>
      <c r="BA13" s="105"/>
      <c r="BB13" s="105"/>
      <c r="BC13" s="105"/>
      <c r="BD13" s="105"/>
      <c r="BE13" s="105"/>
      <c r="BF13" s="105"/>
      <c r="BG13" s="105"/>
      <c r="BH13" s="105"/>
      <c r="BI13" s="105"/>
      <c r="BJ13" s="105"/>
      <c r="BK13" s="105"/>
      <c r="BL13" s="105"/>
      <c r="BM13" s="105"/>
      <c r="BN13" s="105"/>
      <c r="BO13" s="105"/>
      <c r="BP13" s="105"/>
    </row>
    <row r="14" spans="1:68" x14ac:dyDescent="0.25">
      <c r="C14" s="88"/>
    </row>
    <row r="15" spans="1:68" x14ac:dyDescent="0.25">
      <c r="C15" s="31" t="str">
        <f ca="1">INDEX('Version control'!$H$34:$H$57,MATCH($A$1,'Version control'!$F$34:$F$57,0),1)&amp;"-A: Inputs to revenue matching"</f>
        <v>Section 115-A: Inputs to revenue matching</v>
      </c>
      <c r="D15" s="31"/>
      <c r="E15" s="31"/>
      <c r="F15" s="31"/>
      <c r="G15" s="31"/>
      <c r="H15" s="31"/>
      <c r="I15" s="31"/>
      <c r="J15" s="31"/>
      <c r="K15" s="31"/>
      <c r="L15" s="31"/>
      <c r="M15" s="31"/>
      <c r="N15" s="31"/>
      <c r="O15" s="31"/>
      <c r="P15" s="31"/>
      <c r="Q15" s="31"/>
      <c r="R15" s="31"/>
      <c r="S15" s="31"/>
      <c r="T15" s="31"/>
      <c r="U15" s="31"/>
      <c r="V15" s="31"/>
      <c r="W15" s="31"/>
      <c r="X15" s="31"/>
      <c r="Y15" s="31"/>
      <c r="Z15" s="31"/>
      <c r="AA15" s="31"/>
      <c r="AB15" s="31"/>
      <c r="AC15" s="31"/>
      <c r="AD15" s="31"/>
      <c r="AE15" s="31"/>
      <c r="AF15" s="31"/>
      <c r="AG15" s="31"/>
      <c r="AH15" s="31"/>
      <c r="AI15" s="31"/>
      <c r="AJ15" s="31"/>
      <c r="AK15" s="31"/>
      <c r="AL15" s="31"/>
      <c r="AM15" s="31"/>
      <c r="AN15" s="31"/>
      <c r="AO15" s="31"/>
      <c r="AP15" s="31"/>
      <c r="AQ15" s="31"/>
      <c r="AR15" s="31"/>
      <c r="AS15" s="31"/>
      <c r="AT15" s="31"/>
      <c r="AU15" s="31"/>
      <c r="AV15" s="31"/>
      <c r="AW15" s="31"/>
      <c r="AX15" s="31"/>
      <c r="AY15" s="31"/>
      <c r="AZ15" s="31"/>
      <c r="BA15" s="31"/>
      <c r="BB15" s="31"/>
      <c r="BC15" s="31"/>
      <c r="BD15" s="31"/>
      <c r="BE15" s="31"/>
      <c r="BF15" s="31"/>
      <c r="BG15" s="31"/>
      <c r="BH15" s="31"/>
      <c r="BI15" s="31"/>
      <c r="BJ15" s="31"/>
      <c r="BK15" s="31"/>
      <c r="BL15" s="31"/>
      <c r="BM15" s="31"/>
      <c r="BN15" s="31"/>
      <c r="BO15" s="31"/>
      <c r="BP15" s="31"/>
    </row>
    <row r="16" spans="1:68" x14ac:dyDescent="0.25">
      <c r="C16" s="29"/>
      <c r="J16" s="63"/>
      <c r="K16" s="63"/>
      <c r="L16" s="63"/>
      <c r="M16" s="63"/>
      <c r="N16" s="63"/>
      <c r="O16" s="63"/>
      <c r="P16" s="63"/>
      <c r="Q16" s="63"/>
      <c r="R16" s="63"/>
      <c r="S16" s="63"/>
      <c r="T16" s="63"/>
      <c r="U16" s="63"/>
      <c r="V16" s="63"/>
      <c r="W16" s="63"/>
      <c r="X16" s="63"/>
      <c r="Y16" s="63"/>
      <c r="Z16" s="63"/>
      <c r="AA16" s="63"/>
      <c r="AB16" s="63"/>
    </row>
    <row r="17" spans="4:68" x14ac:dyDescent="0.25">
      <c r="D17" s="29" t="s">
        <v>733</v>
      </c>
      <c r="F17" s="2"/>
    </row>
    <row r="18" spans="4:68" x14ac:dyDescent="0.25">
      <c r="D18" s="88"/>
      <c r="F18" s="2"/>
    </row>
    <row r="19" spans="4:68" x14ac:dyDescent="0.25">
      <c r="D19"/>
      <c r="E19" s="32" t="s">
        <v>734</v>
      </c>
      <c r="F19" s="32"/>
    </row>
    <row r="20" spans="4:68" x14ac:dyDescent="0.25">
      <c r="D20"/>
      <c r="E20" s="88"/>
      <c r="F20" s="23" t="s">
        <v>155</v>
      </c>
      <c r="G20" s="23" t="s">
        <v>268</v>
      </c>
      <c r="H20" s="269"/>
      <c r="I20" s="269"/>
      <c r="J20" s="285">
        <f>'Unit rate charges'!J217</f>
        <v>9.0075798509575993</v>
      </c>
      <c r="K20" s="285">
        <f>'Unit rate charges'!K217</f>
        <v>9.0075798509575993</v>
      </c>
      <c r="L20" s="285">
        <f>'Unit rate charges'!L217</f>
        <v>10.462349584574492</v>
      </c>
      <c r="M20" s="285">
        <f>'Unit rate charges'!M217</f>
        <v>10.462349584574492</v>
      </c>
      <c r="N20" s="285">
        <f>'Unit rate charges'!N217</f>
        <v>7.0335580755778464</v>
      </c>
      <c r="O20" s="285">
        <f>'Unit rate charges'!O217</f>
        <v>4.1620061131966093</v>
      </c>
      <c r="P20" s="285">
        <f>'Unit rate charges'!P217</f>
        <v>3.1534185792984371</v>
      </c>
      <c r="Q20" s="285">
        <f>'Unit rate charges'!Q217</f>
        <v>7.0335580755778464</v>
      </c>
      <c r="R20" s="285">
        <f>'Unit rate charges'!R217</f>
        <v>4.1620061131966093</v>
      </c>
      <c r="S20" s="285">
        <f>'Unit rate charges'!S217</f>
        <v>3.1534185792984371</v>
      </c>
      <c r="T20" s="285">
        <f>'Unit rate charges'!T217</f>
        <v>21.581103155032686</v>
      </c>
      <c r="U20" s="285">
        <f>'Unit rate charges'!U217</f>
        <v>-6.4413635387668471</v>
      </c>
      <c r="V20" s="285">
        <f>'Unit rate charges'!V217</f>
        <v>-5.6891199709087141</v>
      </c>
      <c r="W20" s="285">
        <f>'Unit rate charges'!W217</f>
        <v>-6.4413635387668471</v>
      </c>
      <c r="X20" s="285">
        <f>'Unit rate charges'!X217</f>
        <v>-6.4413635387668471</v>
      </c>
      <c r="Y20" s="285">
        <f>'Unit rate charges'!Y217</f>
        <v>-5.6891199709087141</v>
      </c>
      <c r="Z20" s="285">
        <f>'Unit rate charges'!Z217</f>
        <v>-5.6891199709087141</v>
      </c>
      <c r="AA20" s="285">
        <f>'Unit rate charges'!AA217</f>
        <v>-3.732687631507082</v>
      </c>
      <c r="AB20" s="285">
        <f>'Unit rate charges'!AB217</f>
        <v>-3.732687631507082</v>
      </c>
      <c r="AC20" s="271"/>
      <c r="AD20" s="271"/>
      <c r="AE20" s="271"/>
      <c r="AF20" s="271"/>
      <c r="AG20" s="271"/>
      <c r="AH20" s="271"/>
      <c r="AI20" s="271"/>
      <c r="AJ20" s="271"/>
      <c r="AK20" s="271"/>
      <c r="AL20" s="271"/>
      <c r="AM20" s="271"/>
      <c r="AN20" s="271"/>
      <c r="AO20" s="271"/>
      <c r="AP20" s="271"/>
      <c r="AQ20" s="271"/>
      <c r="AR20" s="271"/>
      <c r="AS20" s="271"/>
      <c r="AT20" s="271"/>
      <c r="AU20" s="271"/>
      <c r="AV20" s="271"/>
      <c r="AW20" s="271"/>
      <c r="AX20" s="271"/>
      <c r="AY20" s="271"/>
      <c r="AZ20" s="271"/>
      <c r="BA20" s="271"/>
      <c r="BB20" s="271"/>
      <c r="BC20" s="271"/>
      <c r="BD20" s="271"/>
      <c r="BE20" s="271"/>
      <c r="BF20" s="271"/>
      <c r="BG20" s="271"/>
      <c r="BH20" s="271"/>
      <c r="BI20" s="271"/>
      <c r="BJ20" s="271"/>
      <c r="BK20" s="271"/>
      <c r="BL20" s="271"/>
      <c r="BM20" s="271"/>
      <c r="BN20" s="271"/>
      <c r="BO20" s="271"/>
      <c r="BP20" s="271"/>
    </row>
    <row r="21" spans="4:68" x14ac:dyDescent="0.25">
      <c r="D21"/>
      <c r="E21" s="88"/>
      <c r="F21" t="s">
        <v>156</v>
      </c>
      <c r="G21" t="s">
        <v>268</v>
      </c>
      <c r="H21" s="271"/>
      <c r="I21" s="271"/>
      <c r="J21" s="286">
        <f>'Unit rate charges'!J218</f>
        <v>0.88300920268903393</v>
      </c>
      <c r="K21" s="286">
        <f>'Unit rate charges'!K218</f>
        <v>0.88300920268903393</v>
      </c>
      <c r="L21" s="286">
        <f>'Unit rate charges'!L218</f>
        <v>1.0256196578648074</v>
      </c>
      <c r="M21" s="286">
        <f>'Unit rate charges'!M218</f>
        <v>1.0256196578648074</v>
      </c>
      <c r="N21" s="286">
        <f>'Unit rate charges'!N218</f>
        <v>0.66594714340259142</v>
      </c>
      <c r="O21" s="286">
        <f>'Unit rate charges'!O218</f>
        <v>0.35402490513798557</v>
      </c>
      <c r="P21" s="286">
        <f>'Unit rate charges'!P218</f>
        <v>0.25261633874531259</v>
      </c>
      <c r="Q21" s="286">
        <f>'Unit rate charges'!Q218</f>
        <v>0.66594714340259142</v>
      </c>
      <c r="R21" s="286">
        <f>'Unit rate charges'!R218</f>
        <v>0.35402490513798557</v>
      </c>
      <c r="S21" s="286">
        <f>'Unit rate charges'!S218</f>
        <v>0.25261633874531259</v>
      </c>
      <c r="T21" s="286">
        <f>'Unit rate charges'!T218</f>
        <v>1.1952447724229316</v>
      </c>
      <c r="U21" s="286">
        <f>'Unit rate charges'!U218</f>
        <v>-0.63144411448010185</v>
      </c>
      <c r="V21" s="286">
        <f>'Unit rate charges'!V218</f>
        <v>-0.54797375527131609</v>
      </c>
      <c r="W21" s="286">
        <f>'Unit rate charges'!W218</f>
        <v>-0.63144411448010185</v>
      </c>
      <c r="X21" s="286">
        <f>'Unit rate charges'!X218</f>
        <v>-0.63144411448010185</v>
      </c>
      <c r="Y21" s="286">
        <f>'Unit rate charges'!Y218</f>
        <v>-0.54797375527131609</v>
      </c>
      <c r="Z21" s="286">
        <f>'Unit rate charges'!Z218</f>
        <v>-0.54797375527131609</v>
      </c>
      <c r="AA21" s="286">
        <f>'Unit rate charges'!AA218</f>
        <v>-0.31633967493658671</v>
      </c>
      <c r="AB21" s="286">
        <f>'Unit rate charges'!AB218</f>
        <v>-0.31633967493658671</v>
      </c>
      <c r="AC21" s="271"/>
      <c r="AD21" s="271"/>
      <c r="AE21" s="271"/>
      <c r="AF21" s="271"/>
      <c r="AG21" s="271"/>
      <c r="AH21" s="271"/>
      <c r="AI21" s="271"/>
      <c r="AJ21" s="271"/>
      <c r="AK21" s="271"/>
      <c r="AL21" s="271"/>
      <c r="AM21" s="271"/>
      <c r="AN21" s="271"/>
      <c r="AO21" s="271"/>
      <c r="AP21" s="271"/>
      <c r="AQ21" s="271"/>
      <c r="AR21" s="271"/>
      <c r="AS21" s="271"/>
      <c r="AT21" s="271"/>
      <c r="AU21" s="271"/>
      <c r="AV21" s="271"/>
      <c r="AW21" s="271"/>
      <c r="AX21" s="271"/>
      <c r="AY21" s="271"/>
      <c r="AZ21" s="271"/>
      <c r="BA21" s="271"/>
      <c r="BB21" s="271"/>
      <c r="BC21" s="271"/>
      <c r="BD21" s="271"/>
      <c r="BE21" s="271"/>
      <c r="BF21" s="271"/>
      <c r="BG21" s="271"/>
      <c r="BH21" s="271"/>
      <c r="BI21" s="271"/>
      <c r="BJ21" s="271"/>
      <c r="BK21" s="271"/>
      <c r="BL21" s="271"/>
      <c r="BM21" s="271"/>
      <c r="BN21" s="271"/>
      <c r="BO21" s="271"/>
      <c r="BP21" s="271"/>
    </row>
    <row r="22" spans="4:68" x14ac:dyDescent="0.25">
      <c r="D22"/>
      <c r="E22" s="88"/>
      <c r="F22" t="s">
        <v>157</v>
      </c>
      <c r="G22" t="s">
        <v>268</v>
      </c>
      <c r="H22" s="271"/>
      <c r="I22" s="271"/>
      <c r="J22" s="286">
        <f>'Unit rate charges'!J219</f>
        <v>2.2825020549340613E-2</v>
      </c>
      <c r="K22" s="286">
        <f>'Unit rate charges'!K219</f>
        <v>2.2825020549340613E-2</v>
      </c>
      <c r="L22" s="286">
        <f>'Unit rate charges'!L219</f>
        <v>2.6511376886313207E-2</v>
      </c>
      <c r="M22" s="286">
        <f>'Unit rate charges'!M219</f>
        <v>2.6511376886313207E-2</v>
      </c>
      <c r="N22" s="286">
        <f>'Unit rate charges'!N219</f>
        <v>1.6180688220383998E-2</v>
      </c>
      <c r="O22" s="286">
        <f>'Unit rate charges'!O219</f>
        <v>6.782565073577133E-3</v>
      </c>
      <c r="P22" s="286">
        <f>'Unit rate charges'!P219</f>
        <v>4.0498989835803315E-3</v>
      </c>
      <c r="Q22" s="286">
        <f>'Unit rate charges'!Q219</f>
        <v>1.6180688220383998E-2</v>
      </c>
      <c r="R22" s="286">
        <f>'Unit rate charges'!R219</f>
        <v>6.782565073577133E-3</v>
      </c>
      <c r="S22" s="286">
        <f>'Unit rate charges'!S219</f>
        <v>4.0498989835803315E-3</v>
      </c>
      <c r="T22" s="286">
        <f>'Unit rate charges'!T219</f>
        <v>0.44929121314425297</v>
      </c>
      <c r="U22" s="286">
        <f>'Unit rate charges'!U219</f>
        <v>-1.632228163067535E-2</v>
      </c>
      <c r="V22" s="286">
        <f>'Unit rate charges'!V219</f>
        <v>-1.3737723553938727E-2</v>
      </c>
      <c r="W22" s="286">
        <f>'Unit rate charges'!W219</f>
        <v>-1.632228163067535E-2</v>
      </c>
      <c r="X22" s="286">
        <f>'Unit rate charges'!X219</f>
        <v>-1.632228163067535E-2</v>
      </c>
      <c r="Y22" s="286">
        <f>'Unit rate charges'!Y219</f>
        <v>-1.3737723553938727E-2</v>
      </c>
      <c r="Z22" s="286">
        <f>'Unit rate charges'!Z219</f>
        <v>-1.3737723553938727E-2</v>
      </c>
      <c r="AA22" s="286">
        <f>'Unit rate charges'!AA219</f>
        <v>-6.0015573611233893E-3</v>
      </c>
      <c r="AB22" s="286">
        <f>'Unit rate charges'!AB219</f>
        <v>-6.0015573611233893E-3</v>
      </c>
      <c r="AC22" s="271"/>
      <c r="AD22" s="271"/>
      <c r="AE22" s="271"/>
      <c r="AF22" s="271"/>
      <c r="AG22" s="271"/>
      <c r="AH22" s="271"/>
      <c r="AI22" s="271"/>
      <c r="AJ22" s="271"/>
      <c r="AK22" s="271"/>
      <c r="AL22" s="271"/>
      <c r="AM22" s="271"/>
      <c r="AN22" s="271"/>
      <c r="AO22" s="271"/>
      <c r="AP22" s="271"/>
      <c r="AQ22" s="271"/>
      <c r="AR22" s="271"/>
      <c r="AS22" s="271"/>
      <c r="AT22" s="271"/>
      <c r="AU22" s="271"/>
      <c r="AV22" s="271"/>
      <c r="AW22" s="271"/>
      <c r="AX22" s="271"/>
      <c r="AY22" s="271"/>
      <c r="AZ22" s="271"/>
      <c r="BA22" s="271"/>
      <c r="BB22" s="271"/>
      <c r="BC22" s="271"/>
      <c r="BD22" s="271"/>
      <c r="BE22" s="271"/>
      <c r="BF22" s="271"/>
      <c r="BG22" s="271"/>
      <c r="BH22" s="271"/>
      <c r="BI22" s="271"/>
      <c r="BJ22" s="271"/>
      <c r="BK22" s="271"/>
      <c r="BL22" s="271"/>
      <c r="BM22" s="271"/>
      <c r="BN22" s="271"/>
      <c r="BO22" s="271"/>
      <c r="BP22" s="271"/>
    </row>
    <row r="23" spans="4:68" x14ac:dyDescent="0.25">
      <c r="D23"/>
      <c r="E23" s="88"/>
      <c r="F23" t="s">
        <v>158</v>
      </c>
      <c r="G23" t="s">
        <v>269</v>
      </c>
      <c r="J23" s="120">
        <f>'Fixed charges'!J161</f>
        <v>4.5716420838261662</v>
      </c>
      <c r="K23" s="120">
        <f>'Fixed charges'!K161</f>
        <v>0</v>
      </c>
      <c r="L23" s="120">
        <f>'Fixed charges'!L161</f>
        <v>5.8510599368879221</v>
      </c>
      <c r="M23" s="120">
        <f>'Fixed charges'!M161</f>
        <v>0</v>
      </c>
      <c r="N23" s="120">
        <f>'Fixed charges'!N161</f>
        <v>23.235516904135658</v>
      </c>
      <c r="O23" s="120">
        <f>'Fixed charges'!O161</f>
        <v>8.2007706720478808</v>
      </c>
      <c r="P23" s="120">
        <f>'Fixed charges'!P161</f>
        <v>124.16460347195436</v>
      </c>
      <c r="Q23" s="120">
        <f>'Fixed charges'!Q161</f>
        <v>23.235516904135658</v>
      </c>
      <c r="R23" s="120">
        <f>'Fixed charges'!R161</f>
        <v>8.2007706720478808</v>
      </c>
      <c r="S23" s="120">
        <f>'Fixed charges'!S161</f>
        <v>124.16460347195436</v>
      </c>
      <c r="T23" s="120">
        <f>'Fixed charges'!T161</f>
        <v>0</v>
      </c>
      <c r="U23" s="120">
        <f>'Fixed charges'!U161</f>
        <v>0</v>
      </c>
      <c r="V23" s="120">
        <f>'Fixed charges'!V161</f>
        <v>0</v>
      </c>
      <c r="W23" s="120">
        <f>'Fixed charges'!W161</f>
        <v>0</v>
      </c>
      <c r="X23" s="120">
        <f>'Fixed charges'!X161</f>
        <v>0</v>
      </c>
      <c r="Y23" s="120">
        <f>'Fixed charges'!Y161</f>
        <v>0</v>
      </c>
      <c r="Z23" s="120">
        <f>'Fixed charges'!Z161</f>
        <v>0</v>
      </c>
      <c r="AA23" s="120">
        <f>'Fixed charges'!AA161</f>
        <v>90.667330037272208</v>
      </c>
      <c r="AB23" s="120">
        <f>'Fixed charges'!AB161</f>
        <v>90.667330037272208</v>
      </c>
    </row>
    <row r="24" spans="4:68" x14ac:dyDescent="0.25">
      <c r="D24"/>
      <c r="E24" s="88"/>
      <c r="F24" t="s">
        <v>159</v>
      </c>
      <c r="G24" t="s">
        <v>270</v>
      </c>
      <c r="J24" s="120">
        <f>'Capacity charges'!J256</f>
        <v>0</v>
      </c>
      <c r="K24" s="120">
        <f>'Capacity charges'!K256</f>
        <v>0</v>
      </c>
      <c r="L24" s="120">
        <f>'Capacity charges'!L256</f>
        <v>0</v>
      </c>
      <c r="M24" s="120">
        <f>'Capacity charges'!M256</f>
        <v>0</v>
      </c>
      <c r="N24" s="120">
        <f>'Capacity charges'!N256</f>
        <v>2.498083735110924</v>
      </c>
      <c r="O24" s="120">
        <f>'Capacity charges'!O256</f>
        <v>4.5053338960962241</v>
      </c>
      <c r="P24" s="120">
        <f>'Capacity charges'!P256</f>
        <v>4.9643297738527297</v>
      </c>
      <c r="Q24" s="120">
        <f>'Capacity charges'!Q256</f>
        <v>2.498083735110924</v>
      </c>
      <c r="R24" s="120">
        <f>'Capacity charges'!R256</f>
        <v>4.5053338960962241</v>
      </c>
      <c r="S24" s="120">
        <f>'Capacity charges'!S256</f>
        <v>4.9643297738527297</v>
      </c>
      <c r="T24" s="120">
        <f>'Capacity charges'!T256</f>
        <v>0</v>
      </c>
      <c r="U24" s="120">
        <f>'Capacity charges'!U256</f>
        <v>0</v>
      </c>
      <c r="V24" s="120">
        <f>'Capacity charges'!V256</f>
        <v>0</v>
      </c>
      <c r="W24" s="120">
        <f>'Capacity charges'!W256</f>
        <v>0</v>
      </c>
      <c r="X24" s="120">
        <f>'Capacity charges'!X256</f>
        <v>0</v>
      </c>
      <c r="Y24" s="120">
        <f>'Capacity charges'!Y256</f>
        <v>0</v>
      </c>
      <c r="Z24" s="120">
        <f>'Capacity charges'!Z256</f>
        <v>0</v>
      </c>
      <c r="AA24" s="120">
        <f>'Capacity charges'!AA256</f>
        <v>0</v>
      </c>
      <c r="AB24" s="120">
        <f>'Capacity charges'!AB256</f>
        <v>0</v>
      </c>
    </row>
    <row r="25" spans="4:68" x14ac:dyDescent="0.25">
      <c r="D25"/>
      <c r="E25" s="88"/>
      <c r="F25" t="s">
        <v>160</v>
      </c>
      <c r="G25" t="s">
        <v>270</v>
      </c>
      <c r="J25" s="120">
        <f>'Capacity charges'!J257</f>
        <v>0</v>
      </c>
      <c r="K25" s="120">
        <f>'Capacity charges'!K257</f>
        <v>0</v>
      </c>
      <c r="L25" s="120">
        <f>'Capacity charges'!L257</f>
        <v>0</v>
      </c>
      <c r="M25" s="120">
        <f>'Capacity charges'!M257</f>
        <v>0</v>
      </c>
      <c r="N25" s="120">
        <f>'Capacity charges'!N257</f>
        <v>3.691279099689118</v>
      </c>
      <c r="O25" s="120">
        <f>'Capacity charges'!O257</f>
        <v>5.1392827901526239</v>
      </c>
      <c r="P25" s="120">
        <f>'Capacity charges'!P257</f>
        <v>6.1243810865470367</v>
      </c>
      <c r="Q25" s="120">
        <f>'Capacity charges'!Q257</f>
        <v>3.691279099689118</v>
      </c>
      <c r="R25" s="120">
        <f>'Capacity charges'!R257</f>
        <v>5.1392827901526239</v>
      </c>
      <c r="S25" s="120">
        <f>'Capacity charges'!S257</f>
        <v>6.1243810865470367</v>
      </c>
      <c r="T25" s="120">
        <f>'Capacity charges'!T257</f>
        <v>0</v>
      </c>
      <c r="U25" s="120">
        <f>'Capacity charges'!U257</f>
        <v>0</v>
      </c>
      <c r="V25" s="120">
        <f>'Capacity charges'!V257</f>
        <v>0</v>
      </c>
      <c r="W25" s="120">
        <f>'Capacity charges'!W257</f>
        <v>0</v>
      </c>
      <c r="X25" s="120">
        <f>'Capacity charges'!X257</f>
        <v>0</v>
      </c>
      <c r="Y25" s="120">
        <f>'Capacity charges'!Y257</f>
        <v>0</v>
      </c>
      <c r="Z25" s="120">
        <f>'Capacity charges'!Z257</f>
        <v>0</v>
      </c>
      <c r="AA25" s="120">
        <f>'Capacity charges'!AA257</f>
        <v>0</v>
      </c>
      <c r="AB25" s="120">
        <f>'Capacity charges'!AB257</f>
        <v>0</v>
      </c>
    </row>
    <row r="26" spans="4:68" x14ac:dyDescent="0.25">
      <c r="D26"/>
      <c r="E26" s="88"/>
      <c r="F26" s="37" t="s">
        <v>161</v>
      </c>
      <c r="G26" s="37" t="s">
        <v>271</v>
      </c>
      <c r="H26" s="275"/>
      <c r="I26" s="275"/>
      <c r="J26" s="290">
        <f>'Reactive power charges'!J250</f>
        <v>0</v>
      </c>
      <c r="K26" s="290">
        <f>'Reactive power charges'!K250</f>
        <v>0</v>
      </c>
      <c r="L26" s="290">
        <f>'Reactive power charges'!L250</f>
        <v>0</v>
      </c>
      <c r="M26" s="290">
        <f>'Reactive power charges'!M250</f>
        <v>0</v>
      </c>
      <c r="N26" s="290">
        <f>'Reactive power charges'!N250</f>
        <v>0.23544821131127469</v>
      </c>
      <c r="O26" s="290">
        <f>'Reactive power charges'!O250</f>
        <v>0.13709057031775684</v>
      </c>
      <c r="P26" s="290">
        <f>'Reactive power charges'!P250</f>
        <v>0.10158869577513742</v>
      </c>
      <c r="Q26" s="290">
        <f>'Reactive power charges'!Q250</f>
        <v>0.23544821131127469</v>
      </c>
      <c r="R26" s="290">
        <f>'Reactive power charges'!R250</f>
        <v>0.13709057031775684</v>
      </c>
      <c r="S26" s="290">
        <f>'Reactive power charges'!S250</f>
        <v>0.10158869577513742</v>
      </c>
      <c r="T26" s="290">
        <f>'Reactive power charges'!T250</f>
        <v>0</v>
      </c>
      <c r="U26" s="290">
        <f>'Reactive power charges'!U250</f>
        <v>0</v>
      </c>
      <c r="V26" s="290">
        <f>'Reactive power charges'!V250</f>
        <v>0</v>
      </c>
      <c r="W26" s="290">
        <f>'Reactive power charges'!W250</f>
        <v>0.20319917220642791</v>
      </c>
      <c r="X26" s="290">
        <f>'Reactive power charges'!X250</f>
        <v>0</v>
      </c>
      <c r="Y26" s="290">
        <f>'Reactive power charges'!Y250</f>
        <v>0.1816089264144457</v>
      </c>
      <c r="Z26" s="290">
        <f>'Reactive power charges'!Z250</f>
        <v>0</v>
      </c>
      <c r="AA26" s="290">
        <f>'Reactive power charges'!AA250</f>
        <v>0.15574087273376108</v>
      </c>
      <c r="AB26" s="290">
        <f>'Reactive power charges'!AB250</f>
        <v>0</v>
      </c>
      <c r="AC26" s="271"/>
      <c r="AD26" s="271"/>
      <c r="AE26" s="271"/>
      <c r="AF26" s="271"/>
      <c r="AG26" s="271"/>
      <c r="AH26" s="271"/>
      <c r="AI26" s="271"/>
      <c r="AJ26" s="271"/>
      <c r="AK26" s="271"/>
      <c r="AL26" s="271"/>
      <c r="AM26" s="271"/>
      <c r="AN26" s="271"/>
      <c r="AO26" s="271"/>
      <c r="AP26" s="271"/>
      <c r="AQ26" s="271"/>
      <c r="AR26" s="271"/>
      <c r="AS26" s="271"/>
      <c r="AT26" s="271"/>
      <c r="AU26" s="271"/>
      <c r="AV26" s="271"/>
      <c r="AW26" s="271"/>
      <c r="AX26" s="271"/>
      <c r="AY26" s="271"/>
      <c r="AZ26" s="271"/>
      <c r="BA26" s="271"/>
      <c r="BB26" s="271"/>
      <c r="BC26" s="271"/>
      <c r="BD26" s="271"/>
      <c r="BE26" s="271"/>
      <c r="BF26" s="271"/>
      <c r="BG26" s="271"/>
      <c r="BH26" s="271"/>
      <c r="BI26" s="271"/>
      <c r="BJ26" s="271"/>
      <c r="BK26" s="271"/>
      <c r="BL26" s="271"/>
      <c r="BM26" s="271"/>
      <c r="BN26" s="271"/>
      <c r="BO26" s="271"/>
      <c r="BP26" s="271"/>
    </row>
    <row r="27" spans="4:68" x14ac:dyDescent="0.25">
      <c r="D27"/>
      <c r="E27" s="88"/>
      <c r="J27" s="89"/>
      <c r="K27" s="89"/>
      <c r="L27" s="89"/>
      <c r="M27" s="89"/>
      <c r="N27" s="89"/>
      <c r="O27" s="89"/>
      <c r="P27" s="89"/>
      <c r="Q27" s="89"/>
      <c r="R27" s="89"/>
      <c r="S27" s="89"/>
      <c r="T27" s="89"/>
      <c r="U27" s="89"/>
      <c r="V27" s="89"/>
      <c r="W27" s="89"/>
      <c r="X27" s="89"/>
      <c r="Y27" s="89"/>
      <c r="Z27" s="89"/>
      <c r="AA27" s="89"/>
      <c r="AB27" s="89"/>
    </row>
    <row r="28" spans="4:68" x14ac:dyDescent="0.25">
      <c r="D28"/>
      <c r="E28" s="32" t="s">
        <v>735</v>
      </c>
      <c r="J28" s="89"/>
      <c r="K28" s="89"/>
      <c r="L28" s="89"/>
      <c r="M28" s="89"/>
      <c r="N28" s="89"/>
      <c r="O28" s="89"/>
      <c r="P28" s="89"/>
      <c r="Q28" s="89"/>
      <c r="R28" s="89"/>
      <c r="S28" s="89"/>
      <c r="T28" s="89"/>
      <c r="U28" s="89"/>
      <c r="V28" s="89"/>
      <c r="W28" s="89"/>
      <c r="X28" s="89"/>
      <c r="Y28" s="89"/>
      <c r="Z28" s="89"/>
      <c r="AA28" s="89"/>
      <c r="AB28" s="89"/>
    </row>
    <row r="29" spans="4:68" x14ac:dyDescent="0.25">
      <c r="D29" s="88"/>
      <c r="F29" s="23" t="s">
        <v>155</v>
      </c>
      <c r="G29" s="23" t="s">
        <v>206</v>
      </c>
      <c r="H29" s="23"/>
      <c r="I29" s="23"/>
      <c r="J29" s="124">
        <f>'Volume adjustments'!J66</f>
        <v>744507.47595921555</v>
      </c>
      <c r="K29" s="124">
        <f>'Volume adjustments'!K66</f>
        <v>1327.5662846544521</v>
      </c>
      <c r="L29" s="124">
        <f>'Volume adjustments'!L66</f>
        <v>188973.52230875273</v>
      </c>
      <c r="M29" s="124">
        <f>'Volume adjustments'!M66</f>
        <v>4172.2410596369182</v>
      </c>
      <c r="N29" s="124">
        <f>'Volume adjustments'!N66</f>
        <v>282075.14358760114</v>
      </c>
      <c r="O29" s="124">
        <f>'Volume adjustments'!O66</f>
        <v>23010.444191422164</v>
      </c>
      <c r="P29" s="124">
        <f>'Volume adjustments'!P66</f>
        <v>326311.94038013439</v>
      </c>
      <c r="Q29" s="124">
        <f>'Volume adjustments'!Q66</f>
        <v>0</v>
      </c>
      <c r="R29" s="124">
        <f>'Volume adjustments'!R66</f>
        <v>0</v>
      </c>
      <c r="S29" s="124">
        <f>'Volume adjustments'!S66</f>
        <v>0</v>
      </c>
      <c r="T29" s="124">
        <f>'Volume adjustments'!T66</f>
        <v>13868.974697310709</v>
      </c>
      <c r="U29" s="124">
        <f>'Volume adjustments'!U66</f>
        <v>140.04079826565675</v>
      </c>
      <c r="V29" s="124">
        <f>'Volume adjustments'!V66</f>
        <v>2.8776284544589532</v>
      </c>
      <c r="W29" s="124">
        <f>'Volume adjustments'!W66</f>
        <v>6131.3814104814819</v>
      </c>
      <c r="X29" s="124">
        <f>'Volume adjustments'!X66</f>
        <v>0</v>
      </c>
      <c r="Y29" s="124">
        <f>'Volume adjustments'!Y66</f>
        <v>144.6141525623608</v>
      </c>
      <c r="Z29" s="124">
        <f>'Volume adjustments'!Z66</f>
        <v>0</v>
      </c>
      <c r="AA29" s="124">
        <f>'Volume adjustments'!AA66</f>
        <v>116075.81817719914</v>
      </c>
      <c r="AB29" s="124">
        <f>'Volume adjustments'!AB66</f>
        <v>0</v>
      </c>
    </row>
    <row r="30" spans="4:68" x14ac:dyDescent="0.25">
      <c r="D30" s="88"/>
      <c r="F30" t="s">
        <v>156</v>
      </c>
      <c r="G30" t="s">
        <v>206</v>
      </c>
      <c r="J30" s="120">
        <f>'Volume adjustments'!J77</f>
        <v>2645097.8394225296</v>
      </c>
      <c r="K30" s="120">
        <f>'Volume adjustments'!K77</f>
        <v>24035.071762789463</v>
      </c>
      <c r="L30" s="120">
        <f>'Volume adjustments'!L77</f>
        <v>1023624.1876166349</v>
      </c>
      <c r="M30" s="120">
        <f>'Volume adjustments'!M77</f>
        <v>25319.415482001521</v>
      </c>
      <c r="N30" s="120">
        <f>'Volume adjustments'!N77</f>
        <v>1350126.3314036345</v>
      </c>
      <c r="O30" s="120">
        <f>'Volume adjustments'!O77</f>
        <v>107501.34408049645</v>
      </c>
      <c r="P30" s="120">
        <f>'Volume adjustments'!P77</f>
        <v>1514334.2001053796</v>
      </c>
      <c r="Q30" s="120">
        <f>'Volume adjustments'!Q77</f>
        <v>0</v>
      </c>
      <c r="R30" s="120">
        <f>'Volume adjustments'!R77</f>
        <v>0</v>
      </c>
      <c r="S30" s="120">
        <f>'Volume adjustments'!S77</f>
        <v>0</v>
      </c>
      <c r="T30" s="120">
        <f>'Volume adjustments'!T77</f>
        <v>52882.399972899948</v>
      </c>
      <c r="U30" s="120">
        <f>'Volume adjustments'!U77</f>
        <v>628.61483547885325</v>
      </c>
      <c r="V30" s="120">
        <f>'Volume adjustments'!V77</f>
        <v>11.85801478940583</v>
      </c>
      <c r="W30" s="120">
        <f>'Volume adjustments'!W77</f>
        <v>27525.456251959484</v>
      </c>
      <c r="X30" s="120">
        <f>'Volume adjustments'!X77</f>
        <v>0</v>
      </c>
      <c r="Y30" s="120">
        <f>'Volume adjustments'!Y77</f>
        <v>597.34783091345412</v>
      </c>
      <c r="Z30" s="120">
        <f>'Volume adjustments'!Z77</f>
        <v>0</v>
      </c>
      <c r="AA30" s="120">
        <f>'Volume adjustments'!AA77</f>
        <v>445212.43930388504</v>
      </c>
      <c r="AB30" s="120">
        <f>'Volume adjustments'!AB77</f>
        <v>0</v>
      </c>
    </row>
    <row r="31" spans="4:68" x14ac:dyDescent="0.25">
      <c r="D31" s="88"/>
      <c r="F31" t="s">
        <v>157</v>
      </c>
      <c r="G31" t="s">
        <v>206</v>
      </c>
      <c r="J31" s="120">
        <f>'Volume adjustments'!J88</f>
        <v>2435994.0010482869</v>
      </c>
      <c r="K31" s="120">
        <f>'Volume adjustments'!K88</f>
        <v>245515.14232274992</v>
      </c>
      <c r="L31" s="120">
        <f>'Volume adjustments'!L88</f>
        <v>988714.59609282145</v>
      </c>
      <c r="M31" s="120">
        <f>'Volume adjustments'!M88</f>
        <v>52561.158034119573</v>
      </c>
      <c r="N31" s="120">
        <f>'Volume adjustments'!N88</f>
        <v>1179031.4355710328</v>
      </c>
      <c r="O31" s="120">
        <f>'Volume adjustments'!O88</f>
        <v>106315.97183163626</v>
      </c>
      <c r="P31" s="120">
        <f>'Volume adjustments'!P88</f>
        <v>1621310.6751782417</v>
      </c>
      <c r="Q31" s="120">
        <f>'Volume adjustments'!Q88</f>
        <v>0</v>
      </c>
      <c r="R31" s="120">
        <f>'Volume adjustments'!R88</f>
        <v>0</v>
      </c>
      <c r="S31" s="120">
        <f>'Volume adjustments'!S88</f>
        <v>0</v>
      </c>
      <c r="T31" s="120">
        <f>'Volume adjustments'!T88</f>
        <v>189423.97703070924</v>
      </c>
      <c r="U31" s="120">
        <f>'Volume adjustments'!U88</f>
        <v>700.98374497632642</v>
      </c>
      <c r="V31" s="120">
        <f>'Volume adjustments'!V88</f>
        <v>16.006356756135215</v>
      </c>
      <c r="W31" s="120">
        <f>'Volume adjustments'!W88</f>
        <v>30981.276337559029</v>
      </c>
      <c r="X31" s="120">
        <f>'Volume adjustments'!X88</f>
        <v>0</v>
      </c>
      <c r="Y31" s="120">
        <f>'Volume adjustments'!Y88</f>
        <v>807.27901652418518</v>
      </c>
      <c r="Z31" s="120">
        <f>'Volume adjustments'!Z88</f>
        <v>0</v>
      </c>
      <c r="AA31" s="120">
        <f>'Volume adjustments'!AA88</f>
        <v>507559.16751891578</v>
      </c>
      <c r="AB31" s="120">
        <f>'Volume adjustments'!AB88</f>
        <v>0</v>
      </c>
    </row>
    <row r="32" spans="4:68" x14ac:dyDescent="0.25">
      <c r="D32" s="88"/>
      <c r="F32" t="s">
        <v>211</v>
      </c>
      <c r="G32" t="s">
        <v>211</v>
      </c>
      <c r="J32" s="120">
        <f>'Volume adjustments'!J103</f>
        <v>1900944.7731327738</v>
      </c>
      <c r="K32" s="120">
        <f>'Volume adjustments'!K103</f>
        <v>100130.921763869</v>
      </c>
      <c r="L32" s="120">
        <f>'Volume adjustments'!L103</f>
        <v>126260.16198819576</v>
      </c>
      <c r="M32" s="120">
        <f>'Volume adjustments'!M103</f>
        <v>7441</v>
      </c>
      <c r="N32" s="120">
        <f>'Volume adjustments'!N103</f>
        <v>10688.330482751717</v>
      </c>
      <c r="O32" s="120">
        <f>'Volume adjustments'!O103</f>
        <v>235.94699537145465</v>
      </c>
      <c r="P32" s="120">
        <f>'Volume adjustments'!P103</f>
        <v>1279.4477972038226</v>
      </c>
      <c r="Q32" s="120">
        <f>'Volume adjustments'!Q103</f>
        <v>0</v>
      </c>
      <c r="R32" s="120">
        <f>'Volume adjustments'!R103</f>
        <v>0</v>
      </c>
      <c r="S32" s="120">
        <f>'Volume adjustments'!S103</f>
        <v>0</v>
      </c>
      <c r="T32" s="120">
        <f>'Volume adjustments'!T103</f>
        <v>4906.9507149127448</v>
      </c>
      <c r="U32" s="120">
        <f>'Volume adjustments'!U103</f>
        <v>167</v>
      </c>
      <c r="V32" s="120">
        <f>'Volume adjustments'!V103</f>
        <v>4</v>
      </c>
      <c r="W32" s="120">
        <f>'Volume adjustments'!W103</f>
        <v>472</v>
      </c>
      <c r="X32" s="120">
        <f>'Volume adjustments'!X103</f>
        <v>0</v>
      </c>
      <c r="Y32" s="120">
        <f>'Volume adjustments'!Y103</f>
        <v>8</v>
      </c>
      <c r="Z32" s="120">
        <f>'Volume adjustments'!Z103</f>
        <v>0</v>
      </c>
      <c r="AA32" s="120">
        <f>'Volume adjustments'!AA103</f>
        <v>255</v>
      </c>
      <c r="AB32" s="120">
        <f>'Volume adjustments'!AB103</f>
        <v>0</v>
      </c>
    </row>
    <row r="33" spans="2:68" x14ac:dyDescent="0.25">
      <c r="D33" s="88"/>
      <c r="F33" t="s">
        <v>736</v>
      </c>
      <c r="G33" t="s">
        <v>250</v>
      </c>
      <c r="J33" s="120">
        <f>'Volume adjustments'!J114</f>
        <v>0</v>
      </c>
      <c r="K33" s="120">
        <f>'Volume adjustments'!K114</f>
        <v>0</v>
      </c>
      <c r="L33" s="120">
        <f>'Volume adjustments'!L114</f>
        <v>0</v>
      </c>
      <c r="M33" s="120">
        <f>'Volume adjustments'!M114</f>
        <v>0</v>
      </c>
      <c r="N33" s="120">
        <f>'Volume adjustments'!N114</f>
        <v>1506481.4576925465</v>
      </c>
      <c r="O33" s="120">
        <f>'Volume adjustments'!O114</f>
        <v>101792.04616244261</v>
      </c>
      <c r="P33" s="120">
        <f>'Volume adjustments'!P114</f>
        <v>1304272.7020126332</v>
      </c>
      <c r="Q33" s="120">
        <f>'Volume adjustments'!Q114</f>
        <v>0</v>
      </c>
      <c r="R33" s="120">
        <f>'Volume adjustments'!R114</f>
        <v>0</v>
      </c>
      <c r="S33" s="120">
        <f>'Volume adjustments'!S114</f>
        <v>0</v>
      </c>
      <c r="T33" s="120">
        <f>'Volume adjustments'!T114</f>
        <v>0</v>
      </c>
      <c r="U33" s="120">
        <f>'Volume adjustments'!U114</f>
        <v>0</v>
      </c>
      <c r="V33" s="120">
        <f>'Volume adjustments'!V114</f>
        <v>0</v>
      </c>
      <c r="W33" s="120">
        <f>'Volume adjustments'!W114</f>
        <v>0</v>
      </c>
      <c r="X33" s="120">
        <f>'Volume adjustments'!X114</f>
        <v>0</v>
      </c>
      <c r="Y33" s="120">
        <f>'Volume adjustments'!Y114</f>
        <v>0</v>
      </c>
      <c r="Z33" s="120">
        <f>'Volume adjustments'!Z114</f>
        <v>0</v>
      </c>
      <c r="AA33" s="120">
        <f>'Volume adjustments'!AA114</f>
        <v>0</v>
      </c>
      <c r="AB33" s="120">
        <f>'Volume adjustments'!AB114</f>
        <v>0</v>
      </c>
    </row>
    <row r="34" spans="2:68" x14ac:dyDescent="0.25">
      <c r="D34" s="88"/>
      <c r="F34" t="s">
        <v>251</v>
      </c>
      <c r="G34" t="s">
        <v>250</v>
      </c>
      <c r="J34" s="120">
        <f>'Volume adjustments'!J125</f>
        <v>0</v>
      </c>
      <c r="K34" s="120">
        <f>'Volume adjustments'!K125</f>
        <v>0</v>
      </c>
      <c r="L34" s="120">
        <f>'Volume adjustments'!L125</f>
        <v>0</v>
      </c>
      <c r="M34" s="120">
        <f>'Volume adjustments'!M125</f>
        <v>0</v>
      </c>
      <c r="N34" s="120">
        <f>'Volume adjustments'!N125</f>
        <v>29633.952584846371</v>
      </c>
      <c r="O34" s="120">
        <f>'Volume adjustments'!O125</f>
        <v>1042.17</v>
      </c>
      <c r="P34" s="120">
        <f>'Volume adjustments'!P125</f>
        <v>16278.596851006316</v>
      </c>
      <c r="Q34" s="120">
        <f>'Volume adjustments'!Q125</f>
        <v>0</v>
      </c>
      <c r="R34" s="120">
        <f>'Volume adjustments'!R125</f>
        <v>0</v>
      </c>
      <c r="S34" s="120">
        <f>'Volume adjustments'!S125</f>
        <v>0</v>
      </c>
      <c r="T34" s="120">
        <f>'Volume adjustments'!T125</f>
        <v>0</v>
      </c>
      <c r="U34" s="120">
        <f>'Volume adjustments'!U125</f>
        <v>0</v>
      </c>
      <c r="V34" s="120">
        <f>'Volume adjustments'!V125</f>
        <v>0</v>
      </c>
      <c r="W34" s="120">
        <f>'Volume adjustments'!W125</f>
        <v>0</v>
      </c>
      <c r="X34" s="120">
        <f>'Volume adjustments'!X125</f>
        <v>0</v>
      </c>
      <c r="Y34" s="120">
        <f>'Volume adjustments'!Y125</f>
        <v>0</v>
      </c>
      <c r="Z34" s="120">
        <f>'Volume adjustments'!Z125</f>
        <v>0</v>
      </c>
      <c r="AA34" s="120">
        <f>'Volume adjustments'!AA125</f>
        <v>0</v>
      </c>
      <c r="AB34" s="120">
        <f>'Volume adjustments'!AB125</f>
        <v>0</v>
      </c>
    </row>
    <row r="35" spans="2:68" x14ac:dyDescent="0.25">
      <c r="D35" s="88"/>
      <c r="F35" s="37" t="s">
        <v>214</v>
      </c>
      <c r="G35" s="67" t="s">
        <v>253</v>
      </c>
      <c r="H35" s="37"/>
      <c r="I35" s="37"/>
      <c r="J35" s="125">
        <f>'Volume adjustments'!J136</f>
        <v>0</v>
      </c>
      <c r="K35" s="125">
        <f>'Volume adjustments'!K136</f>
        <v>0</v>
      </c>
      <c r="L35" s="125">
        <f>'Volume adjustments'!L136</f>
        <v>0</v>
      </c>
      <c r="M35" s="125">
        <f>'Volume adjustments'!M136</f>
        <v>0</v>
      </c>
      <c r="N35" s="125">
        <f>'Volume adjustments'!N136</f>
        <v>246057.76967706415</v>
      </c>
      <c r="O35" s="125">
        <f>'Volume adjustments'!O136</f>
        <v>19880.385918858468</v>
      </c>
      <c r="P35" s="125">
        <f>'Volume adjustments'!P136</f>
        <v>251627.6799021631</v>
      </c>
      <c r="Q35" s="125">
        <f>'Volume adjustments'!Q136</f>
        <v>0</v>
      </c>
      <c r="R35" s="125">
        <f>'Volume adjustments'!R136</f>
        <v>0</v>
      </c>
      <c r="S35" s="125">
        <f>'Volume adjustments'!S136</f>
        <v>0</v>
      </c>
      <c r="T35" s="125">
        <f>'Volume adjustments'!T136</f>
        <v>0</v>
      </c>
      <c r="U35" s="125">
        <f>'Volume adjustments'!U136</f>
        <v>0</v>
      </c>
      <c r="V35" s="125">
        <f>'Volume adjustments'!V136</f>
        <v>0</v>
      </c>
      <c r="W35" s="125">
        <f>'Volume adjustments'!W136</f>
        <v>4452</v>
      </c>
      <c r="X35" s="125">
        <f>'Volume adjustments'!X136</f>
        <v>0</v>
      </c>
      <c r="Y35" s="125">
        <f>'Volume adjustments'!Y136</f>
        <v>408</v>
      </c>
      <c r="Z35" s="125">
        <f>'Volume adjustments'!Z136</f>
        <v>0</v>
      </c>
      <c r="AA35" s="125">
        <f>'Volume adjustments'!AA136</f>
        <v>16464</v>
      </c>
      <c r="AB35" s="125">
        <f>'Volume adjustments'!AB136</f>
        <v>0</v>
      </c>
    </row>
    <row r="36" spans="2:68" x14ac:dyDescent="0.25">
      <c r="D36" s="88"/>
      <c r="F36" s="2"/>
      <c r="J36" s="63"/>
      <c r="K36" s="63"/>
      <c r="L36" s="63"/>
      <c r="M36" s="63"/>
      <c r="N36" s="63"/>
      <c r="O36" s="63"/>
      <c r="P36" s="63"/>
      <c r="Q36" s="63"/>
      <c r="R36" s="63"/>
      <c r="S36" s="63"/>
      <c r="T36" s="63"/>
      <c r="U36" s="63"/>
      <c r="V36" s="63"/>
      <c r="W36" s="63"/>
      <c r="X36" s="63"/>
      <c r="Y36" s="63"/>
      <c r="Z36" s="63"/>
      <c r="AA36" s="63"/>
      <c r="AB36" s="63"/>
    </row>
    <row r="37" spans="2:68" x14ac:dyDescent="0.25">
      <c r="D37" s="88"/>
      <c r="E37" t="s">
        <v>737</v>
      </c>
      <c r="G37" t="s">
        <v>276</v>
      </c>
      <c r="H37" s="120">
        <f>'General inputs'!$H$87</f>
        <v>417181725.07818514</v>
      </c>
      <c r="J37" s="63"/>
      <c r="K37" s="63"/>
      <c r="L37" s="63"/>
      <c r="M37" s="63"/>
      <c r="N37" s="63"/>
      <c r="O37" s="63"/>
      <c r="P37" s="63"/>
      <c r="Q37" s="63"/>
      <c r="R37" s="63"/>
      <c r="S37" s="63"/>
      <c r="T37" s="63"/>
      <c r="U37" s="63"/>
      <c r="V37" s="63"/>
      <c r="W37" s="63"/>
      <c r="X37" s="63"/>
      <c r="Y37" s="63"/>
      <c r="Z37" s="63"/>
      <c r="AA37" s="63"/>
      <c r="AB37" s="63"/>
    </row>
    <row r="38" spans="2:68" x14ac:dyDescent="0.25">
      <c r="D38" s="88"/>
      <c r="E38"/>
      <c r="H38" s="120"/>
      <c r="J38" s="63"/>
      <c r="K38" s="63"/>
      <c r="L38" s="63"/>
      <c r="M38" s="63"/>
      <c r="N38" s="63"/>
      <c r="O38" s="63"/>
      <c r="P38" s="63"/>
      <c r="Q38" s="63"/>
      <c r="R38" s="63"/>
      <c r="S38" s="63"/>
      <c r="T38" s="63"/>
      <c r="U38" s="63"/>
      <c r="V38" s="63"/>
      <c r="W38" s="63"/>
      <c r="X38" s="63"/>
      <c r="Y38" s="63"/>
      <c r="Z38" s="63"/>
      <c r="AA38" s="63"/>
      <c r="AB38" s="63"/>
    </row>
    <row r="39" spans="2:68" x14ac:dyDescent="0.25">
      <c r="D39" s="88"/>
      <c r="E39" s="32" t="s">
        <v>988</v>
      </c>
      <c r="H39" s="120"/>
      <c r="J39" s="63"/>
      <c r="K39" s="63"/>
      <c r="L39" s="63"/>
      <c r="M39" s="63"/>
      <c r="N39" s="63"/>
      <c r="O39" s="63"/>
      <c r="P39" s="63"/>
      <c r="Q39" s="63"/>
      <c r="R39" s="63"/>
      <c r="S39" s="63"/>
      <c r="T39" s="63"/>
      <c r="U39" s="63"/>
      <c r="V39" s="63"/>
      <c r="W39" s="63"/>
      <c r="X39" s="63"/>
      <c r="Y39" s="63"/>
      <c r="Z39" s="63"/>
      <c r="AA39" s="63"/>
      <c r="AB39" s="63"/>
    </row>
    <row r="40" spans="2:68" x14ac:dyDescent="0.25">
      <c r="D40" s="88"/>
      <c r="F40" s="23" t="s">
        <v>986</v>
      </c>
      <c r="G40" s="23" t="s">
        <v>276</v>
      </c>
      <c r="H40" s="124">
        <f>'General inputs'!$H$53</f>
        <v>47073.343842731156</v>
      </c>
      <c r="J40" s="63"/>
      <c r="K40" s="63"/>
      <c r="L40" s="63"/>
      <c r="M40" s="63"/>
      <c r="N40" s="63"/>
      <c r="O40" s="63"/>
      <c r="P40" s="63"/>
      <c r="Q40" s="63"/>
      <c r="R40" s="63"/>
      <c r="S40" s="63"/>
      <c r="T40" s="63"/>
      <c r="U40" s="63"/>
      <c r="V40" s="63"/>
      <c r="W40" s="63"/>
      <c r="X40" s="63"/>
      <c r="Y40" s="63"/>
      <c r="Z40" s="63"/>
      <c r="AA40" s="63"/>
      <c r="AB40" s="63"/>
    </row>
    <row r="41" spans="2:68" x14ac:dyDescent="0.25">
      <c r="C41" s="88"/>
      <c r="F41" s="37" t="s">
        <v>987</v>
      </c>
      <c r="G41" s="37" t="s">
        <v>276</v>
      </c>
      <c r="H41" s="125">
        <f>'General inputs'!$H$54</f>
        <v>1417380.0307358583</v>
      </c>
      <c r="J41" s="63"/>
      <c r="K41" s="63"/>
      <c r="L41" s="63"/>
      <c r="M41" s="63"/>
      <c r="N41" s="63"/>
      <c r="O41" s="63"/>
      <c r="P41" s="63"/>
      <c r="Q41" s="63"/>
      <c r="R41" s="63"/>
      <c r="S41" s="63"/>
      <c r="T41" s="63"/>
      <c r="U41" s="63"/>
      <c r="V41" s="63"/>
      <c r="W41" s="63"/>
      <c r="X41" s="63"/>
      <c r="Y41" s="63"/>
      <c r="Z41" s="63"/>
      <c r="AA41" s="63"/>
      <c r="AB41" s="63"/>
    </row>
    <row r="42" spans="2:68" x14ac:dyDescent="0.25">
      <c r="C42" s="88"/>
      <c r="J42" s="63"/>
      <c r="K42" s="63"/>
      <c r="L42" s="63"/>
      <c r="M42" s="63"/>
      <c r="N42" s="63"/>
      <c r="O42" s="63"/>
      <c r="P42" s="63"/>
      <c r="Q42" s="63"/>
      <c r="R42" s="63"/>
      <c r="S42" s="63"/>
      <c r="T42" s="63"/>
      <c r="U42" s="63"/>
      <c r="V42" s="63"/>
      <c r="W42" s="63"/>
      <c r="X42" s="63"/>
      <c r="Y42" s="63"/>
      <c r="Z42" s="63"/>
      <c r="AA42" s="63"/>
      <c r="AB42" s="63"/>
    </row>
    <row r="43" spans="2:68" x14ac:dyDescent="0.25">
      <c r="C43" s="88"/>
      <c r="E43" t="s">
        <v>1002</v>
      </c>
      <c r="G43" t="s">
        <v>276</v>
      </c>
      <c r="H43" s="98">
        <f>H37 - H40 - H41</f>
        <v>415717271.70360655</v>
      </c>
      <c r="I43" t="s">
        <v>153</v>
      </c>
      <c r="J43" s="63"/>
      <c r="K43" s="63"/>
      <c r="L43" s="63"/>
      <c r="M43" s="63"/>
      <c r="N43" s="63"/>
      <c r="O43" s="63"/>
      <c r="P43" s="63"/>
      <c r="Q43" s="63"/>
      <c r="R43" s="63"/>
      <c r="S43" s="63"/>
      <c r="T43" s="63"/>
      <c r="U43" s="63"/>
      <c r="V43" s="63"/>
      <c r="W43" s="63"/>
      <c r="X43" s="63"/>
      <c r="Y43" s="63"/>
      <c r="Z43" s="63"/>
      <c r="AA43" s="63"/>
      <c r="AB43" s="63"/>
      <c r="BP43" t="s">
        <v>1018</v>
      </c>
    </row>
    <row r="44" spans="2:68" x14ac:dyDescent="0.25">
      <c r="C44" s="88"/>
      <c r="J44" s="63"/>
      <c r="K44" s="63"/>
      <c r="L44" s="63"/>
      <c r="M44" s="63"/>
      <c r="N44" s="63"/>
      <c r="O44" s="63"/>
      <c r="P44" s="63"/>
      <c r="Q44" s="63"/>
      <c r="R44" s="63"/>
      <c r="S44" s="63"/>
      <c r="T44" s="63"/>
      <c r="U44" s="63"/>
      <c r="V44" s="63"/>
      <c r="W44" s="63"/>
      <c r="X44" s="63"/>
      <c r="Y44" s="63"/>
      <c r="Z44" s="63"/>
      <c r="AA44" s="63"/>
      <c r="AB44" s="63"/>
    </row>
    <row r="45" spans="2:68" x14ac:dyDescent="0.25">
      <c r="C45" s="31" t="str">
        <f ca="1">INDEX('Version control'!$H$34:$H$57,MATCH($A$1,'Version control'!$F$34:$F$57,0),1)&amp;"-B: Net revenue before matching"</f>
        <v>Section 115-B: Net revenue before matching</v>
      </c>
      <c r="D45" s="31"/>
      <c r="E45" s="31"/>
      <c r="F45" s="31"/>
      <c r="G45" s="31"/>
      <c r="H45" s="31"/>
      <c r="I45" s="31"/>
      <c r="J45" s="31"/>
      <c r="K45" s="31"/>
      <c r="L45" s="31"/>
      <c r="M45" s="31"/>
      <c r="N45" s="31"/>
      <c r="O45" s="31"/>
      <c r="P45" s="31"/>
      <c r="Q45" s="31"/>
      <c r="R45" s="31"/>
      <c r="S45" s="31"/>
      <c r="T45" s="31"/>
      <c r="U45" s="31"/>
      <c r="V45" s="31"/>
      <c r="W45" s="31"/>
      <c r="X45" s="31"/>
      <c r="Y45" s="31"/>
      <c r="Z45" s="31"/>
      <c r="AA45" s="31"/>
      <c r="AB45" s="31"/>
      <c r="AC45" s="31"/>
      <c r="AD45" s="31"/>
      <c r="AE45" s="31"/>
      <c r="AF45" s="31"/>
      <c r="AG45" s="31"/>
      <c r="AH45" s="31"/>
      <c r="AI45" s="31"/>
      <c r="AJ45" s="31"/>
      <c r="AK45" s="31"/>
      <c r="AL45" s="31"/>
      <c r="AM45" s="31"/>
      <c r="AN45" s="31"/>
      <c r="AO45" s="31"/>
      <c r="AP45" s="31"/>
      <c r="AQ45" s="31"/>
      <c r="AR45" s="31"/>
      <c r="AS45" s="31"/>
      <c r="AT45" s="31"/>
      <c r="AU45" s="31"/>
      <c r="AV45" s="31"/>
      <c r="AW45" s="31"/>
      <c r="AX45" s="31"/>
      <c r="AY45" s="31"/>
      <c r="AZ45" s="31"/>
      <c r="BA45" s="31"/>
      <c r="BB45" s="31"/>
      <c r="BC45" s="31"/>
      <c r="BD45" s="31"/>
      <c r="BE45" s="31"/>
      <c r="BF45" s="31"/>
      <c r="BG45" s="31"/>
      <c r="BH45" s="31"/>
      <c r="BI45" s="31"/>
      <c r="BJ45" s="31"/>
      <c r="BK45" s="31"/>
      <c r="BL45" s="31"/>
      <c r="BM45" s="31"/>
      <c r="BN45" s="31"/>
      <c r="BO45" s="31"/>
      <c r="BP45" s="31"/>
    </row>
    <row r="46" spans="2:68" x14ac:dyDescent="0.25">
      <c r="C46" s="29"/>
      <c r="J46" s="63"/>
      <c r="K46" s="63"/>
      <c r="L46" s="63"/>
      <c r="M46" s="63"/>
      <c r="N46" s="63"/>
      <c r="O46" s="63"/>
      <c r="P46" s="63"/>
      <c r="Q46" s="63"/>
      <c r="R46" s="63"/>
      <c r="S46" s="63"/>
      <c r="T46" s="63"/>
      <c r="U46" s="63"/>
      <c r="V46" s="63"/>
      <c r="W46" s="63"/>
      <c r="X46" s="63"/>
      <c r="Y46" s="63"/>
      <c r="Z46" s="63"/>
      <c r="AA46" s="63"/>
      <c r="AB46" s="63"/>
    </row>
    <row r="47" spans="2:68" x14ac:dyDescent="0.25">
      <c r="B47" s="29"/>
      <c r="D47" s="29" t="s">
        <v>738</v>
      </c>
      <c r="F47" s="2"/>
      <c r="J47" s="63"/>
      <c r="K47" s="63"/>
      <c r="L47" s="63"/>
      <c r="M47" s="63"/>
      <c r="N47" s="63"/>
      <c r="O47" s="63"/>
      <c r="P47" s="63"/>
      <c r="Q47" s="63"/>
      <c r="R47" s="63"/>
      <c r="S47" s="63"/>
      <c r="T47" s="63"/>
      <c r="U47" s="63"/>
      <c r="V47" s="63"/>
      <c r="W47" s="63"/>
      <c r="X47" s="63"/>
      <c r="Y47" s="63"/>
      <c r="Z47" s="63"/>
      <c r="AA47" s="63"/>
      <c r="AB47" s="63"/>
    </row>
    <row r="48" spans="2:68" x14ac:dyDescent="0.25">
      <c r="D48" s="29" t="s">
        <v>739</v>
      </c>
      <c r="F48" s="2"/>
      <c r="J48" s="63"/>
      <c r="K48" s="63"/>
      <c r="L48" s="63"/>
      <c r="M48" s="63"/>
      <c r="N48" s="63"/>
      <c r="O48" s="63"/>
      <c r="P48" s="63"/>
      <c r="Q48" s="63"/>
      <c r="R48" s="63"/>
      <c r="S48" s="63"/>
      <c r="T48" s="63"/>
      <c r="U48" s="63"/>
      <c r="V48" s="63"/>
      <c r="W48" s="63"/>
      <c r="X48" s="63"/>
      <c r="Y48" s="63"/>
      <c r="Z48" s="63"/>
      <c r="AA48" s="63"/>
      <c r="AB48" s="63"/>
    </row>
    <row r="49" spans="2:68" x14ac:dyDescent="0.25">
      <c r="D49" s="29"/>
      <c r="F49" s="2"/>
      <c r="J49" s="63"/>
      <c r="K49" s="63"/>
      <c r="L49" s="63"/>
      <c r="M49" s="63"/>
      <c r="N49" s="63"/>
      <c r="O49" s="63"/>
      <c r="P49" s="63"/>
      <c r="Q49" s="63"/>
      <c r="R49" s="63"/>
      <c r="S49" s="63"/>
      <c r="T49" s="63"/>
      <c r="U49" s="63"/>
      <c r="V49" s="63"/>
      <c r="W49" s="63"/>
      <c r="X49" s="63"/>
      <c r="Y49" s="63"/>
      <c r="Z49" s="63"/>
      <c r="AA49" s="63"/>
      <c r="AB49" s="63"/>
    </row>
    <row r="50" spans="2:68" x14ac:dyDescent="0.25">
      <c r="D50"/>
      <c r="E50" s="32" t="s">
        <v>740</v>
      </c>
      <c r="F50" s="32"/>
      <c r="H50" s="128" t="s">
        <v>544</v>
      </c>
      <c r="J50" s="63"/>
      <c r="K50" s="63"/>
      <c r="L50" s="63"/>
      <c r="M50" s="63"/>
      <c r="N50" s="63"/>
      <c r="O50" s="63"/>
      <c r="P50" s="63"/>
      <c r="Q50" s="63"/>
      <c r="R50" s="63"/>
      <c r="S50" s="63"/>
      <c r="T50" s="63"/>
      <c r="U50" s="63"/>
      <c r="V50" s="63"/>
      <c r="W50" s="63"/>
      <c r="X50" s="63"/>
      <c r="Y50" s="63"/>
      <c r="Z50" s="63"/>
      <c r="AA50" s="63"/>
      <c r="AB50" s="63"/>
    </row>
    <row r="51" spans="2:68" x14ac:dyDescent="0.25">
      <c r="D51" s="88"/>
      <c r="F51" s="23" t="s">
        <v>155</v>
      </c>
      <c r="G51" s="23" t="s">
        <v>276</v>
      </c>
      <c r="H51" s="158">
        <f t="shared" ref="H51:H58" si="0">SUM(J51:AB51)</f>
        <v>116724842.38709189</v>
      </c>
      <c r="I51" s="129"/>
      <c r="J51" s="126">
        <f t="shared" ref="J51:K51" si="1">J29 * thousand * J20 / hundred</f>
        <v>67062105.393375292</v>
      </c>
      <c r="K51" s="126">
        <f t="shared" si="1"/>
        <v>119581.59316464086</v>
      </c>
      <c r="L51" s="126">
        <f t="shared" ref="L51:M51" si="2">L29 * thousand * L20 / hundred</f>
        <v>19771070.526225574</v>
      </c>
      <c r="M51" s="126">
        <f t="shared" si="2"/>
        <v>436514.44517036952</v>
      </c>
      <c r="N51" s="126">
        <f t="shared" ref="N51:P51" si="3">N29 * thousand * N20 / hundred</f>
        <v>19839919.041003525</v>
      </c>
      <c r="O51" s="126">
        <f t="shared" si="3"/>
        <v>957696.09392068465</v>
      </c>
      <c r="P51" s="126">
        <f t="shared" si="3"/>
        <v>10289981.354416398</v>
      </c>
      <c r="Q51" s="126">
        <f t="shared" ref="Q51:S51" si="4">Q29 * thousand * Q20 / hundred</f>
        <v>0</v>
      </c>
      <c r="R51" s="126">
        <f t="shared" si="4"/>
        <v>0</v>
      </c>
      <c r="S51" s="126">
        <f t="shared" si="4"/>
        <v>0</v>
      </c>
      <c r="T51" s="126">
        <f t="shared" ref="T51:V51" si="5">T29 * thousand * T20 / hundred</f>
        <v>2993077.7359720063</v>
      </c>
      <c r="U51" s="126">
        <f t="shared" si="5"/>
        <v>-9020.5369188820496</v>
      </c>
      <c r="V51" s="126">
        <f t="shared" si="5"/>
        <v>-163.71173509117608</v>
      </c>
      <c r="W51" s="126">
        <f t="shared" ref="W51:X51" si="6">W29 * thousand * W20 / hundred</f>
        <v>-394944.56659748266</v>
      </c>
      <c r="X51" s="126">
        <f t="shared" si="6"/>
        <v>0</v>
      </c>
      <c r="Y51" s="126">
        <f t="shared" ref="Y51:Z51" si="7">Y29 * thousand * Y20 / hundred</f>
        <v>-8227.2726341856651</v>
      </c>
      <c r="Z51" s="126">
        <f t="shared" si="7"/>
        <v>0</v>
      </c>
      <c r="AA51" s="126">
        <f t="shared" ref="AA51:AB51" si="8">AA29 * thousand * AA20 / hundred</f>
        <v>-4332747.7082709614</v>
      </c>
      <c r="AB51" s="126">
        <f t="shared" si="8"/>
        <v>0</v>
      </c>
    </row>
    <row r="52" spans="2:68" x14ac:dyDescent="0.25">
      <c r="D52" s="88"/>
      <c r="F52" t="s">
        <v>156</v>
      </c>
      <c r="G52" t="s">
        <v>276</v>
      </c>
      <c r="H52" s="89">
        <f t="shared" si="0"/>
        <v>46566600.936367683</v>
      </c>
      <c r="I52" s="63"/>
      <c r="J52" s="98">
        <f t="shared" ref="J52:K52" si="9">J30 * thousand * J21 / hundred</f>
        <v>23356457.342229743</v>
      </c>
      <c r="K52" s="98">
        <f t="shared" si="9"/>
        <v>212231.89553834434</v>
      </c>
      <c r="L52" s="98">
        <f t="shared" ref="L52:M52" si="10">L30 * thousand * L21 / hundred</f>
        <v>10498490.890855145</v>
      </c>
      <c r="M52" s="98">
        <f t="shared" si="10"/>
        <v>259680.90243987308</v>
      </c>
      <c r="N52" s="98">
        <f t="shared" ref="N52:P52" si="11">N30 * thousand * N21 / hundred</f>
        <v>8991127.7363087088</v>
      </c>
      <c r="O52" s="98">
        <f t="shared" si="11"/>
        <v>380581.53140303702</v>
      </c>
      <c r="P52" s="98">
        <f t="shared" si="11"/>
        <v>3825455.6126743257</v>
      </c>
      <c r="Q52" s="98">
        <f t="shared" ref="Q52:S52" si="12">Q30 * thousand * Q21 / hundred</f>
        <v>0</v>
      </c>
      <c r="R52" s="98">
        <f t="shared" si="12"/>
        <v>0</v>
      </c>
      <c r="S52" s="98">
        <f t="shared" si="12"/>
        <v>0</v>
      </c>
      <c r="T52" s="98">
        <f t="shared" ref="T52:V52" si="13">T30 * thousand * T21 / hundred</f>
        <v>632074.12120787252</v>
      </c>
      <c r="U52" s="98">
        <f t="shared" si="13"/>
        <v>-3969.3513813799941</v>
      </c>
      <c r="V52" s="98">
        <f t="shared" si="13"/>
        <v>-64.978808942135174</v>
      </c>
      <c r="W52" s="98">
        <f t="shared" ref="W52:X52" si="14">W30 * thousand * W21 / hundred</f>
        <v>-173807.87348679343</v>
      </c>
      <c r="X52" s="98">
        <f t="shared" si="14"/>
        <v>0</v>
      </c>
      <c r="Y52" s="98">
        <f t="shared" ref="Y52:Z52" si="15">Y30 * thousand * Y21 / hundred</f>
        <v>-3273.3093410882057</v>
      </c>
      <c r="Z52" s="98">
        <f t="shared" si="15"/>
        <v>0</v>
      </c>
      <c r="AA52" s="98">
        <f t="shared" ref="AA52:AB52" si="16">AA30 * thousand * AA21 / hundred</f>
        <v>-1408383.5832711584</v>
      </c>
      <c r="AB52" s="98">
        <f t="shared" si="16"/>
        <v>0</v>
      </c>
    </row>
    <row r="53" spans="2:68" x14ac:dyDescent="0.25">
      <c r="D53" s="88"/>
      <c r="F53" t="s">
        <v>157</v>
      </c>
      <c r="G53" t="s">
        <v>276</v>
      </c>
      <c r="H53" s="89">
        <f t="shared" si="0"/>
        <v>1967078.8091679572</v>
      </c>
      <c r="I53" s="63"/>
      <c r="J53" s="98">
        <f t="shared" ref="J53:K53" si="17">J31 * thousand * J22 / hundred</f>
        <v>556016.13131997606</v>
      </c>
      <c r="K53" s="98">
        <f t="shared" si="17"/>
        <v>56038.881686910521</v>
      </c>
      <c r="L53" s="98">
        <f t="shared" ref="L53:M53" si="18">L31 * thousand * L22 / hundred</f>
        <v>262121.85290015725</v>
      </c>
      <c r="M53" s="98">
        <f t="shared" si="18"/>
        <v>13934.686702236135</v>
      </c>
      <c r="N53" s="98">
        <f t="shared" ref="N53:P53" si="19">N31 * thousand * N22 / hundred</f>
        <v>190775.40061006643</v>
      </c>
      <c r="O53" s="98">
        <f t="shared" si="19"/>
        <v>7210.9499730866637</v>
      </c>
      <c r="P53" s="98">
        <f t="shared" si="19"/>
        <v>65661.444554723013</v>
      </c>
      <c r="Q53" s="98">
        <f t="shared" ref="Q53:S53" si="20">Q31 * thousand * Q22 / hundred</f>
        <v>0</v>
      </c>
      <c r="R53" s="98">
        <f t="shared" si="20"/>
        <v>0</v>
      </c>
      <c r="S53" s="98">
        <f t="shared" si="20"/>
        <v>0</v>
      </c>
      <c r="T53" s="98">
        <f t="shared" ref="T53:V53" si="21">T31 * thousand * T22 / hundred</f>
        <v>851065.28438736463</v>
      </c>
      <c r="U53" s="98">
        <f t="shared" si="21"/>
        <v>-114.41654104029107</v>
      </c>
      <c r="V53" s="98">
        <f t="shared" si="21"/>
        <v>-2.1989090422150501</v>
      </c>
      <c r="W53" s="98">
        <f t="shared" ref="W53:X53" si="22">W31 * thousand * W22 / hundred</f>
        <v>-5056.8511765941666</v>
      </c>
      <c r="X53" s="98">
        <f t="shared" si="22"/>
        <v>0</v>
      </c>
      <c r="Y53" s="98">
        <f t="shared" ref="Y53:Z53" si="23">Y31 * thousand * Y22 / hundred</f>
        <v>-110.90175959904789</v>
      </c>
      <c r="Z53" s="98">
        <f t="shared" si="23"/>
        <v>0</v>
      </c>
      <c r="AA53" s="98">
        <f t="shared" ref="AA53:AB53" si="24">AA31 * thousand * AA22 / hundred</f>
        <v>-30461.454580288082</v>
      </c>
      <c r="AB53" s="98">
        <f t="shared" si="24"/>
        <v>0</v>
      </c>
    </row>
    <row r="54" spans="2:68" x14ac:dyDescent="0.25">
      <c r="D54" s="88"/>
      <c r="F54" t="s">
        <v>158</v>
      </c>
      <c r="G54" t="s">
        <v>276</v>
      </c>
      <c r="H54" s="89">
        <f t="shared" si="0"/>
        <v>35994332.751062781</v>
      </c>
      <c r="I54" s="63"/>
      <c r="J54" s="98">
        <f t="shared" ref="J54:K54" si="25">J32 * J23 * days_in_year / hundred</f>
        <v>31720102.802173581</v>
      </c>
      <c r="K54" s="98">
        <f t="shared" si="25"/>
        <v>0</v>
      </c>
      <c r="L54" s="98">
        <f t="shared" ref="L54:M54" si="26">L32 * L23 * days_in_year / hundred</f>
        <v>2696458.5803345065</v>
      </c>
      <c r="M54" s="98">
        <f t="shared" si="26"/>
        <v>0</v>
      </c>
      <c r="N54" s="98">
        <f t="shared" ref="N54:P54" si="27">N32 * N23 * days_in_year / hundred</f>
        <v>906473.42517272581</v>
      </c>
      <c r="O54" s="98">
        <f t="shared" si="27"/>
        <v>7062.557279270155</v>
      </c>
      <c r="P54" s="98">
        <f t="shared" si="27"/>
        <v>579846.76867050515</v>
      </c>
      <c r="Q54" s="98">
        <f t="shared" ref="Q54:S54" si="28">Q32 * Q23 * days_in_year / hundred</f>
        <v>0</v>
      </c>
      <c r="R54" s="98">
        <f t="shared" si="28"/>
        <v>0</v>
      </c>
      <c r="S54" s="98">
        <f t="shared" si="28"/>
        <v>0</v>
      </c>
      <c r="T54" s="98">
        <f t="shared" ref="T54:V54" si="29">T32 * T23 * days_in_year / hundred</f>
        <v>0</v>
      </c>
      <c r="U54" s="98">
        <f t="shared" si="29"/>
        <v>0</v>
      </c>
      <c r="V54" s="98">
        <f t="shared" si="29"/>
        <v>0</v>
      </c>
      <c r="W54" s="98">
        <f t="shared" ref="W54:X54" si="30">W32 * W23 * days_in_year / hundred</f>
        <v>0</v>
      </c>
      <c r="X54" s="98">
        <f t="shared" si="30"/>
        <v>0</v>
      </c>
      <c r="Y54" s="98">
        <f t="shared" ref="Y54:Z54" si="31">Y32 * Y23 * days_in_year / hundred</f>
        <v>0</v>
      </c>
      <c r="Z54" s="98">
        <f t="shared" si="31"/>
        <v>0</v>
      </c>
      <c r="AA54" s="98">
        <f t="shared" ref="AA54:AB54" si="32">AA32 * AA23 * days_in_year / hundred</f>
        <v>84388.617432191109</v>
      </c>
      <c r="AB54" s="98">
        <f t="shared" si="32"/>
        <v>0</v>
      </c>
    </row>
    <row r="55" spans="2:68" x14ac:dyDescent="0.25">
      <c r="D55" s="88"/>
      <c r="F55" t="s">
        <v>736</v>
      </c>
      <c r="G55" t="s">
        <v>276</v>
      </c>
      <c r="H55" s="89">
        <f t="shared" si="0"/>
        <v>39043187.835183576</v>
      </c>
      <c r="I55" s="63"/>
      <c r="J55" s="98">
        <f t="shared" ref="J55:K55" si="33">J33 * J24 * days_in_year / hundred</f>
        <v>0</v>
      </c>
      <c r="K55" s="98">
        <f t="shared" si="33"/>
        <v>0</v>
      </c>
      <c r="L55" s="98">
        <f t="shared" ref="L55:M55" si="34">L33 * L24 * days_in_year / hundred</f>
        <v>0</v>
      </c>
      <c r="M55" s="98">
        <f t="shared" si="34"/>
        <v>0</v>
      </c>
      <c r="N55" s="98">
        <f t="shared" ref="N55:P55" si="35">N33 * N24 * days_in_year / hundred</f>
        <v>13736106.417484004</v>
      </c>
      <c r="O55" s="98">
        <f t="shared" si="35"/>
        <v>1673916.1191395519</v>
      </c>
      <c r="P55" s="98">
        <f t="shared" si="35"/>
        <v>23633165.298560023</v>
      </c>
      <c r="Q55" s="98">
        <f t="shared" ref="Q55:S55" si="36">Q33 * Q24 * days_in_year / hundred</f>
        <v>0</v>
      </c>
      <c r="R55" s="98">
        <f t="shared" si="36"/>
        <v>0</v>
      </c>
      <c r="S55" s="98">
        <f t="shared" si="36"/>
        <v>0</v>
      </c>
      <c r="T55" s="98">
        <f t="shared" ref="T55:V55" si="37">T33 * T24 * days_in_year / hundred</f>
        <v>0</v>
      </c>
      <c r="U55" s="98">
        <f t="shared" si="37"/>
        <v>0</v>
      </c>
      <c r="V55" s="98">
        <f t="shared" si="37"/>
        <v>0</v>
      </c>
      <c r="W55" s="98">
        <f t="shared" ref="W55:X55" si="38">W33 * W24 * days_in_year / hundred</f>
        <v>0</v>
      </c>
      <c r="X55" s="98">
        <f t="shared" si="38"/>
        <v>0</v>
      </c>
      <c r="Y55" s="98">
        <f t="shared" ref="Y55:Z55" si="39">Y33 * Y24 * days_in_year / hundred</f>
        <v>0</v>
      </c>
      <c r="Z55" s="98">
        <f t="shared" si="39"/>
        <v>0</v>
      </c>
      <c r="AA55" s="98">
        <f t="shared" ref="AA55:AB55" si="40">AA33 * AA24 * days_in_year / hundred</f>
        <v>0</v>
      </c>
      <c r="AB55" s="98">
        <f t="shared" si="40"/>
        <v>0</v>
      </c>
    </row>
    <row r="56" spans="2:68" x14ac:dyDescent="0.25">
      <c r="D56" s="88"/>
      <c r="F56" t="s">
        <v>251</v>
      </c>
      <c r="G56" t="s">
        <v>276</v>
      </c>
      <c r="H56" s="89">
        <f t="shared" si="0"/>
        <v>782704.27293994743</v>
      </c>
      <c r="I56" s="63"/>
      <c r="J56" s="98">
        <f t="shared" ref="J56:K56" si="41">J34 * J25 * days_in_year / hundred</f>
        <v>0</v>
      </c>
      <c r="K56" s="98">
        <f t="shared" si="41"/>
        <v>0</v>
      </c>
      <c r="L56" s="98">
        <f t="shared" ref="L56:M56" si="42">L34 * L25 * days_in_year / hundred</f>
        <v>0</v>
      </c>
      <c r="M56" s="98">
        <f t="shared" si="42"/>
        <v>0</v>
      </c>
      <c r="N56" s="98">
        <f t="shared" ref="N56:P56" si="43">N34 * N25 * days_in_year / hundred</f>
        <v>399263.24283431924</v>
      </c>
      <c r="O56" s="98">
        <f t="shared" si="43"/>
        <v>19549.423160758764</v>
      </c>
      <c r="P56" s="98">
        <f t="shared" si="43"/>
        <v>363891.60694486939</v>
      </c>
      <c r="Q56" s="98">
        <f t="shared" ref="Q56:S56" si="44">Q34 * Q25 * days_in_year / hundred</f>
        <v>0</v>
      </c>
      <c r="R56" s="98">
        <f t="shared" si="44"/>
        <v>0</v>
      </c>
      <c r="S56" s="98">
        <f t="shared" si="44"/>
        <v>0</v>
      </c>
      <c r="T56" s="98">
        <f t="shared" ref="T56:V56" si="45">T34 * T25 * days_in_year / hundred</f>
        <v>0</v>
      </c>
      <c r="U56" s="98">
        <f t="shared" si="45"/>
        <v>0</v>
      </c>
      <c r="V56" s="98">
        <f t="shared" si="45"/>
        <v>0</v>
      </c>
      <c r="W56" s="98">
        <f t="shared" ref="W56:X56" si="46">W34 * W25 * days_in_year / hundred</f>
        <v>0</v>
      </c>
      <c r="X56" s="98">
        <f t="shared" si="46"/>
        <v>0</v>
      </c>
      <c r="Y56" s="98">
        <f t="shared" ref="Y56:Z56" si="47">Y34 * Y25 * days_in_year / hundred</f>
        <v>0</v>
      </c>
      <c r="Z56" s="98">
        <f t="shared" si="47"/>
        <v>0</v>
      </c>
      <c r="AA56" s="98">
        <f t="shared" ref="AA56:AB56" si="48">AA34 * AA25 * days_in_year / hundred</f>
        <v>0</v>
      </c>
      <c r="AB56" s="98">
        <f t="shared" si="48"/>
        <v>0</v>
      </c>
    </row>
    <row r="57" spans="2:68" x14ac:dyDescent="0.25">
      <c r="D57" s="88"/>
      <c r="F57" s="37" t="s">
        <v>214</v>
      </c>
      <c r="G57" s="67" t="s">
        <v>276</v>
      </c>
      <c r="H57" s="82">
        <f t="shared" si="0"/>
        <v>897646.59900973027</v>
      </c>
      <c r="I57" s="130"/>
      <c r="J57" s="100">
        <f t="shared" ref="J57:K57" si="49">J35 * thousand * J26 / hundred</f>
        <v>0</v>
      </c>
      <c r="K57" s="100">
        <f t="shared" si="49"/>
        <v>0</v>
      </c>
      <c r="L57" s="100">
        <f t="shared" ref="L57:M57" si="50">L35 * thousand * L26 / hundred</f>
        <v>0</v>
      </c>
      <c r="M57" s="100">
        <f t="shared" si="50"/>
        <v>0</v>
      </c>
      <c r="N57" s="100">
        <f t="shared" ref="N57:P57" si="51">N35 * thousand * N26 / hundred</f>
        <v>579338.61749706359</v>
      </c>
      <c r="O57" s="100">
        <f t="shared" si="51"/>
        <v>27254.134437534096</v>
      </c>
      <c r="P57" s="100">
        <f t="shared" si="51"/>
        <v>255625.27822184507</v>
      </c>
      <c r="Q57" s="100">
        <f t="shared" ref="Q57:S57" si="52">Q35 * thousand * Q26 / hundred</f>
        <v>0</v>
      </c>
      <c r="R57" s="100">
        <f t="shared" si="52"/>
        <v>0</v>
      </c>
      <c r="S57" s="100">
        <f t="shared" si="52"/>
        <v>0</v>
      </c>
      <c r="T57" s="100">
        <f t="shared" ref="T57:V57" si="53">T35 * thousand * T26 / hundred</f>
        <v>0</v>
      </c>
      <c r="U57" s="100">
        <f t="shared" si="53"/>
        <v>0</v>
      </c>
      <c r="V57" s="100">
        <f t="shared" si="53"/>
        <v>0</v>
      </c>
      <c r="W57" s="100">
        <f t="shared" ref="W57:X57" si="54">W35 * thousand * W26 / hundred</f>
        <v>9046.4271466301707</v>
      </c>
      <c r="X57" s="100">
        <f t="shared" si="54"/>
        <v>0</v>
      </c>
      <c r="Y57" s="100">
        <f t="shared" ref="Y57:Z57" si="55">Y35 * thousand * Y26 / hundred</f>
        <v>740.96441977093843</v>
      </c>
      <c r="Z57" s="100">
        <f t="shared" si="55"/>
        <v>0</v>
      </c>
      <c r="AA57" s="100">
        <f t="shared" ref="AA57:AB57" si="56">AA35 * thousand * AA26 / hundred</f>
        <v>25641.177286886425</v>
      </c>
      <c r="AB57" s="100">
        <f t="shared" si="56"/>
        <v>0</v>
      </c>
    </row>
    <row r="58" spans="2:68" x14ac:dyDescent="0.25">
      <c r="D58"/>
      <c r="E58" s="29"/>
      <c r="F58" s="108" t="s">
        <v>99</v>
      </c>
      <c r="G58" s="152" t="s">
        <v>276</v>
      </c>
      <c r="H58" s="167">
        <f t="shared" si="0"/>
        <v>241976393.59082356</v>
      </c>
      <c r="I58" s="168"/>
      <c r="J58" s="153">
        <f t="shared" ref="J58:K58" si="57">SUM(J51:J57)</f>
        <v>122694681.66909859</v>
      </c>
      <c r="K58" s="153">
        <f t="shared" si="57"/>
        <v>387852.37038989575</v>
      </c>
      <c r="L58" s="153">
        <f t="shared" ref="L58:M58" si="58">SUM(L51:L57)</f>
        <v>33228141.850315385</v>
      </c>
      <c r="M58" s="153">
        <f t="shared" si="58"/>
        <v>710130.03431247885</v>
      </c>
      <c r="N58" s="153">
        <f t="shared" ref="N58:P58" si="59">SUM(N51:N57)</f>
        <v>44643003.880910419</v>
      </c>
      <c r="O58" s="153">
        <f t="shared" si="59"/>
        <v>3073270.8093139231</v>
      </c>
      <c r="P58" s="153">
        <f t="shared" si="59"/>
        <v>39013627.364042692</v>
      </c>
      <c r="Q58" s="153">
        <f t="shared" ref="Q58:S58" si="60">SUM(Q51:Q57)</f>
        <v>0</v>
      </c>
      <c r="R58" s="153">
        <f t="shared" si="60"/>
        <v>0</v>
      </c>
      <c r="S58" s="153">
        <f t="shared" si="60"/>
        <v>0</v>
      </c>
      <c r="T58" s="153">
        <f t="shared" ref="T58:V58" si="61">SUM(T51:T57)</f>
        <v>4476217.1415672433</v>
      </c>
      <c r="U58" s="153">
        <f t="shared" si="61"/>
        <v>-13104.304841302335</v>
      </c>
      <c r="V58" s="153">
        <f t="shared" si="61"/>
        <v>-230.88945307552632</v>
      </c>
      <c r="W58" s="153">
        <f t="shared" ref="W58:X58" si="62">SUM(W51:W57)</f>
        <v>-564762.86411424004</v>
      </c>
      <c r="X58" s="153">
        <f t="shared" si="62"/>
        <v>0</v>
      </c>
      <c r="Y58" s="153">
        <f t="shared" ref="Y58:Z58" si="63">SUM(Y51:Y57)</f>
        <v>-10870.519315101981</v>
      </c>
      <c r="Z58" s="153">
        <f t="shared" si="63"/>
        <v>0</v>
      </c>
      <c r="AA58" s="153">
        <f t="shared" ref="AA58:AB58" si="64">SUM(AA51:AA57)</f>
        <v>-5661562.951403331</v>
      </c>
      <c r="AB58" s="153">
        <f t="shared" si="64"/>
        <v>0</v>
      </c>
      <c r="AC58" s="210"/>
      <c r="AD58" s="210"/>
      <c r="AE58" s="210"/>
      <c r="AF58" s="210"/>
      <c r="AG58" s="210"/>
      <c r="AH58" s="210"/>
      <c r="AI58" s="210"/>
      <c r="AJ58" s="210"/>
      <c r="AK58" s="210"/>
      <c r="AL58" s="210"/>
      <c r="AM58" s="210"/>
      <c r="AN58" s="210"/>
      <c r="AO58" s="210"/>
      <c r="AP58" s="210"/>
      <c r="AQ58" s="210"/>
      <c r="AR58" s="210"/>
      <c r="AS58" s="210"/>
      <c r="AT58" s="210"/>
      <c r="AU58" s="210"/>
      <c r="AV58" s="210"/>
      <c r="AW58" s="210"/>
      <c r="AX58" s="210"/>
      <c r="AY58" s="210"/>
      <c r="AZ58" s="210"/>
      <c r="BA58" s="210"/>
      <c r="BB58" s="210"/>
      <c r="BC58" s="210"/>
      <c r="BD58" s="210"/>
      <c r="BE58" s="210"/>
      <c r="BF58" s="210"/>
      <c r="BG58" s="210"/>
      <c r="BH58" s="210"/>
      <c r="BI58" s="210"/>
      <c r="BJ58" s="210"/>
      <c r="BK58" s="210"/>
      <c r="BL58" s="210"/>
      <c r="BM58" s="210"/>
      <c r="BN58" s="210"/>
      <c r="BO58" s="210"/>
      <c r="BP58" s="210"/>
    </row>
    <row r="59" spans="2:68" x14ac:dyDescent="0.25">
      <c r="D59"/>
      <c r="E59" s="32"/>
      <c r="F59" s="29"/>
      <c r="H59" s="89"/>
    </row>
    <row r="60" spans="2:68" x14ac:dyDescent="0.25">
      <c r="D60" s="88"/>
      <c r="E60" t="s">
        <v>741</v>
      </c>
      <c r="G60" t="s">
        <v>276</v>
      </c>
      <c r="H60" s="98">
        <f>H43 - H58</f>
        <v>173740878.11278298</v>
      </c>
      <c r="I60" s="210" t="s">
        <v>153</v>
      </c>
      <c r="J60" s="210"/>
      <c r="K60" s="210"/>
      <c r="L60" s="210"/>
      <c r="M60" s="210"/>
      <c r="N60" s="210"/>
      <c r="O60" s="210"/>
      <c r="P60" s="210"/>
      <c r="Q60" s="210"/>
      <c r="R60" s="210"/>
      <c r="S60" s="210"/>
      <c r="T60" s="210"/>
      <c r="U60" s="210"/>
      <c r="V60" s="210"/>
      <c r="W60" s="210"/>
      <c r="X60" s="210"/>
      <c r="Y60" s="210"/>
      <c r="Z60" s="210"/>
      <c r="AA60" s="210"/>
      <c r="AB60" s="210"/>
      <c r="AC60" s="210"/>
      <c r="AD60" s="210"/>
      <c r="AE60" s="210"/>
      <c r="AF60" s="210"/>
      <c r="AG60" s="210"/>
      <c r="AH60" s="210"/>
      <c r="AI60" s="210"/>
      <c r="AJ60" s="210"/>
      <c r="AK60" s="210"/>
      <c r="AL60" s="210"/>
      <c r="AM60" s="210"/>
      <c r="AN60" s="210"/>
      <c r="AO60" s="210"/>
      <c r="AP60" s="210"/>
      <c r="AQ60" s="210"/>
      <c r="AR60" s="210"/>
      <c r="AS60" s="210"/>
      <c r="AT60" s="210"/>
      <c r="AU60" s="210"/>
      <c r="AV60" s="210"/>
      <c r="AW60" s="210"/>
      <c r="AX60" s="210"/>
      <c r="AY60" s="210"/>
      <c r="AZ60" s="210"/>
      <c r="BA60" s="210"/>
      <c r="BB60" s="210"/>
      <c r="BC60" s="210"/>
      <c r="BD60" s="210"/>
      <c r="BE60" s="210"/>
      <c r="BF60" s="210"/>
      <c r="BG60" s="210"/>
      <c r="BH60" s="210"/>
      <c r="BI60" s="210"/>
      <c r="BJ60" s="210"/>
      <c r="BK60" s="210"/>
      <c r="BL60" s="210"/>
      <c r="BM60" s="210"/>
      <c r="BN60" s="210"/>
      <c r="BO60" s="210"/>
      <c r="BP60" s="210" t="s">
        <v>742</v>
      </c>
    </row>
    <row r="61" spans="2:68" x14ac:dyDescent="0.25">
      <c r="C61" s="88"/>
      <c r="I61" s="210"/>
      <c r="J61" s="210"/>
      <c r="K61" s="210"/>
      <c r="L61" s="210"/>
      <c r="M61" s="210"/>
      <c r="N61" s="210"/>
      <c r="O61" s="210"/>
      <c r="P61" s="210"/>
      <c r="Q61" s="210"/>
      <c r="R61" s="210"/>
      <c r="S61" s="210"/>
      <c r="T61" s="210"/>
      <c r="U61" s="210"/>
      <c r="V61" s="210"/>
      <c r="W61" s="210"/>
      <c r="X61" s="210"/>
      <c r="Y61" s="210"/>
      <c r="Z61" s="210"/>
      <c r="AA61" s="210"/>
      <c r="AB61" s="210"/>
      <c r="AC61" s="210"/>
      <c r="AD61" s="210"/>
      <c r="AE61" s="210"/>
      <c r="AF61" s="210"/>
      <c r="AG61" s="210"/>
      <c r="AH61" s="210"/>
      <c r="AI61" s="210"/>
      <c r="AJ61" s="210"/>
      <c r="AK61" s="210"/>
      <c r="AL61" s="210"/>
      <c r="AM61" s="210"/>
      <c r="AN61" s="210"/>
      <c r="AO61" s="210"/>
      <c r="AP61" s="210"/>
      <c r="AQ61" s="210"/>
      <c r="AR61" s="210"/>
      <c r="AS61" s="210"/>
      <c r="AT61" s="210"/>
      <c r="AU61" s="210"/>
      <c r="AV61" s="210"/>
      <c r="AW61" s="210"/>
      <c r="AX61" s="210"/>
      <c r="AY61" s="210"/>
      <c r="AZ61" s="210"/>
      <c r="BA61" s="210"/>
      <c r="BB61" s="210"/>
      <c r="BC61" s="210"/>
      <c r="BD61" s="210"/>
      <c r="BE61" s="210"/>
      <c r="BF61" s="210"/>
      <c r="BG61" s="210"/>
      <c r="BH61" s="210"/>
      <c r="BI61" s="210"/>
      <c r="BJ61" s="210"/>
      <c r="BK61" s="210"/>
      <c r="BL61" s="210"/>
      <c r="BM61" s="210"/>
      <c r="BN61" s="210"/>
      <c r="BO61" s="210"/>
      <c r="BP61" s="210"/>
    </row>
    <row r="62" spans="2:68" x14ac:dyDescent="0.25">
      <c r="B62" s="30" t="s">
        <v>743</v>
      </c>
      <c r="C62" s="30"/>
      <c r="D62" s="30"/>
      <c r="E62" s="30"/>
      <c r="F62" s="30"/>
      <c r="G62" s="30"/>
      <c r="H62" s="30"/>
      <c r="I62" s="30"/>
      <c r="J62" s="30"/>
      <c r="K62" s="30"/>
      <c r="L62" s="30"/>
      <c r="M62" s="30"/>
      <c r="N62" s="30"/>
      <c r="O62" s="30"/>
      <c r="P62" s="30"/>
      <c r="Q62" s="30"/>
      <c r="R62" s="30"/>
      <c r="S62" s="30"/>
      <c r="T62" s="30"/>
      <c r="U62" s="30"/>
      <c r="V62" s="30"/>
      <c r="W62" s="30"/>
      <c r="X62" s="30"/>
      <c r="Y62" s="30"/>
      <c r="Z62" s="30"/>
      <c r="AA62" s="30"/>
      <c r="AB62" s="30"/>
      <c r="AC62" s="30"/>
      <c r="AD62" s="30"/>
      <c r="AE62" s="105"/>
      <c r="AF62" s="105"/>
      <c r="AG62" s="105"/>
      <c r="AH62" s="105"/>
      <c r="AI62" s="105"/>
      <c r="AJ62" s="105"/>
      <c r="AK62" s="105"/>
      <c r="AL62" s="105"/>
      <c r="AM62" s="105"/>
      <c r="AN62" s="105"/>
      <c r="AO62" s="105"/>
      <c r="AP62" s="105"/>
      <c r="AQ62" s="105"/>
      <c r="AR62" s="105"/>
      <c r="AS62" s="105"/>
      <c r="AT62" s="105"/>
      <c r="AU62" s="105"/>
      <c r="AV62" s="105"/>
      <c r="AW62" s="105"/>
      <c r="AX62" s="105"/>
      <c r="AY62" s="105"/>
      <c r="AZ62" s="105"/>
      <c r="BA62" s="105"/>
      <c r="BB62" s="105"/>
      <c r="BC62" s="105"/>
      <c r="BD62" s="105"/>
      <c r="BE62" s="105"/>
      <c r="BF62" s="105"/>
      <c r="BG62" s="105"/>
      <c r="BH62" s="105"/>
      <c r="BI62" s="105"/>
      <c r="BJ62" s="105"/>
      <c r="BK62" s="105"/>
      <c r="BL62" s="105"/>
      <c r="BM62" s="105"/>
      <c r="BN62" s="105"/>
      <c r="BO62" s="105"/>
      <c r="BP62" s="105"/>
    </row>
    <row r="63" spans="2:68" x14ac:dyDescent="0.25">
      <c r="C63" s="29"/>
    </row>
    <row r="64" spans="2:68" x14ac:dyDescent="0.25">
      <c r="C64" s="29" t="s">
        <v>744</v>
      </c>
    </row>
    <row r="65" spans="3:68" x14ac:dyDescent="0.25">
      <c r="C65" s="29" t="s">
        <v>745</v>
      </c>
    </row>
    <row r="66" spans="3:68" x14ac:dyDescent="0.25">
      <c r="C66" s="29" t="s">
        <v>746</v>
      </c>
    </row>
    <row r="67" spans="3:68" x14ac:dyDescent="0.25">
      <c r="C67" s="29"/>
    </row>
    <row r="68" spans="3:68" x14ac:dyDescent="0.25">
      <c r="C68" s="31" t="str">
        <f ca="1">INDEX('Version control'!$H$34:$H$57,MATCH($A$1,'Version control'!$F$34:$F$57,0),1)&amp;"-C: Calculation of unconstrained adder solution"</f>
        <v>Section 115-C: Calculation of unconstrained adder solution</v>
      </c>
      <c r="D68" s="31"/>
      <c r="E68" s="31"/>
      <c r="F68" s="31"/>
      <c r="G68" s="31"/>
      <c r="H68" s="31"/>
      <c r="I68" s="31"/>
      <c r="J68" s="31"/>
      <c r="K68" s="31"/>
      <c r="L68" s="31"/>
      <c r="M68" s="31"/>
      <c r="N68" s="31"/>
      <c r="O68" s="31"/>
      <c r="P68" s="31"/>
      <c r="Q68" s="31"/>
      <c r="R68" s="31"/>
      <c r="S68" s="31"/>
      <c r="T68" s="31"/>
      <c r="U68" s="31"/>
      <c r="V68" s="31"/>
      <c r="W68" s="31"/>
      <c r="X68" s="31"/>
      <c r="Y68" s="31"/>
      <c r="Z68" s="31"/>
      <c r="AA68" s="31"/>
      <c r="AB68" s="31"/>
      <c r="AC68" s="31"/>
      <c r="AD68" s="31"/>
      <c r="AE68" s="31"/>
      <c r="AF68" s="31"/>
      <c r="AG68" s="31"/>
      <c r="AH68" s="31"/>
      <c r="AI68" s="31"/>
      <c r="AJ68" s="31"/>
      <c r="AK68" s="31"/>
      <c r="AL68" s="31"/>
      <c r="AM68" s="31"/>
      <c r="AN68" s="31"/>
      <c r="AO68" s="31"/>
      <c r="AP68" s="31"/>
      <c r="AQ68" s="31"/>
      <c r="AR68" s="31"/>
      <c r="AS68" s="31"/>
      <c r="AT68" s="31"/>
      <c r="AU68" s="31"/>
      <c r="AV68" s="31"/>
      <c r="AW68" s="31"/>
      <c r="AX68" s="31"/>
      <c r="AY68" s="31"/>
      <c r="AZ68" s="31"/>
      <c r="BA68" s="31"/>
      <c r="BB68" s="31"/>
      <c r="BC68" s="31"/>
      <c r="BD68" s="31"/>
      <c r="BE68" s="31"/>
      <c r="BF68" s="31"/>
      <c r="BG68" s="31"/>
      <c r="BH68" s="31"/>
      <c r="BI68" s="31"/>
      <c r="BJ68" s="31"/>
      <c r="BK68" s="31"/>
      <c r="BL68" s="31"/>
      <c r="BM68" s="31"/>
      <c r="BN68" s="31"/>
      <c r="BO68" s="31"/>
      <c r="BP68" s="31"/>
    </row>
    <row r="69" spans="3:68" x14ac:dyDescent="0.25">
      <c r="D69" s="88"/>
    </row>
    <row r="70" spans="3:68" x14ac:dyDescent="0.25">
      <c r="E70" s="32" t="s">
        <v>747</v>
      </c>
      <c r="H70" s="210"/>
      <c r="I70" s="210"/>
    </row>
    <row r="71" spans="3:68" x14ac:dyDescent="0.25">
      <c r="E71" s="29" t="s">
        <v>748</v>
      </c>
      <c r="H71" s="210"/>
      <c r="I71" s="210"/>
    </row>
    <row r="72" spans="3:68" x14ac:dyDescent="0.25">
      <c r="D72"/>
      <c r="E72" s="29" t="s">
        <v>749</v>
      </c>
      <c r="H72" s="210"/>
      <c r="I72" s="210"/>
    </row>
    <row r="73" spans="3:68" x14ac:dyDescent="0.25">
      <c r="D73"/>
      <c r="E73" s="29" t="s">
        <v>750</v>
      </c>
      <c r="H73" s="210"/>
      <c r="I73" s="210"/>
    </row>
    <row r="74" spans="3:68" x14ac:dyDescent="0.25">
      <c r="C74" s="88"/>
      <c r="F74" s="23" t="s">
        <v>751</v>
      </c>
      <c r="G74" s="23" t="s">
        <v>268</v>
      </c>
      <c r="H74" s="269"/>
      <c r="I74" s="269"/>
      <c r="J74" s="288">
        <f t="shared" ref="J74:K74" si="65">-J20</f>
        <v>-9.0075798509575993</v>
      </c>
      <c r="K74" s="288">
        <f t="shared" si="65"/>
        <v>-9.0075798509575993</v>
      </c>
      <c r="L74" s="288">
        <f t="shared" ref="L74:M74" si="66">-L20</f>
        <v>-10.462349584574492</v>
      </c>
      <c r="M74" s="288">
        <f t="shared" si="66"/>
        <v>-10.462349584574492</v>
      </c>
      <c r="N74" s="288">
        <f t="shared" ref="N74:P74" si="67">-N20</f>
        <v>-7.0335580755778464</v>
      </c>
      <c r="O74" s="288">
        <f t="shared" si="67"/>
        <v>-4.1620061131966093</v>
      </c>
      <c r="P74" s="288">
        <f t="shared" si="67"/>
        <v>-3.1534185792984371</v>
      </c>
      <c r="Q74" s="288">
        <f t="shared" ref="Q74:S74" si="68">-Q20</f>
        <v>-7.0335580755778464</v>
      </c>
      <c r="R74" s="288">
        <f t="shared" si="68"/>
        <v>-4.1620061131966093</v>
      </c>
      <c r="S74" s="288">
        <f t="shared" si="68"/>
        <v>-3.1534185792984371</v>
      </c>
      <c r="T74" s="288">
        <f t="shared" ref="T74:V74" si="69">-T20</f>
        <v>-21.581103155032686</v>
      </c>
      <c r="U74" s="288">
        <f t="shared" si="69"/>
        <v>6.4413635387668471</v>
      </c>
      <c r="V74" s="288">
        <f t="shared" si="69"/>
        <v>5.6891199709087141</v>
      </c>
      <c r="W74" s="288">
        <f t="shared" ref="W74:X74" si="70">-W20</f>
        <v>6.4413635387668471</v>
      </c>
      <c r="X74" s="288">
        <f t="shared" si="70"/>
        <v>6.4413635387668471</v>
      </c>
      <c r="Y74" s="288">
        <f t="shared" ref="Y74:Z74" si="71">-Y20</f>
        <v>5.6891199709087141</v>
      </c>
      <c r="Z74" s="288">
        <f t="shared" si="71"/>
        <v>5.6891199709087141</v>
      </c>
      <c r="AA74" s="288">
        <f t="shared" ref="AA74:AB74" si="72">-AA20</f>
        <v>3.732687631507082</v>
      </c>
      <c r="AB74" s="288">
        <f t="shared" si="72"/>
        <v>3.732687631507082</v>
      </c>
      <c r="AC74" s="271"/>
      <c r="AD74" s="271"/>
      <c r="AE74" s="271"/>
      <c r="AF74" s="271"/>
      <c r="AG74" s="271"/>
      <c r="AH74" s="271"/>
      <c r="AI74" s="271"/>
      <c r="AJ74" s="271"/>
      <c r="AK74" s="271"/>
      <c r="AL74" s="271"/>
      <c r="AM74" s="271"/>
      <c r="AN74" s="271"/>
      <c r="AO74" s="271"/>
      <c r="AP74" s="271"/>
      <c r="AQ74" s="271"/>
      <c r="AR74" s="271"/>
      <c r="AS74" s="271"/>
      <c r="AT74" s="271"/>
      <c r="AU74" s="271"/>
      <c r="AV74" s="271"/>
      <c r="AW74" s="271"/>
      <c r="AX74" s="271"/>
      <c r="AY74" s="271"/>
      <c r="AZ74" s="271"/>
      <c r="BA74" s="271"/>
      <c r="BB74" s="271"/>
      <c r="BC74" s="271"/>
      <c r="BD74" s="271"/>
      <c r="BE74" s="271"/>
      <c r="BF74" s="271"/>
      <c r="BG74" s="271"/>
      <c r="BH74" s="271"/>
      <c r="BI74" s="271"/>
      <c r="BJ74" s="271"/>
      <c r="BK74" s="271"/>
      <c r="BL74" s="271"/>
      <c r="BM74" s="271"/>
      <c r="BN74" s="271"/>
      <c r="BO74" s="271"/>
      <c r="BP74" s="271"/>
    </row>
    <row r="75" spans="3:68" x14ac:dyDescent="0.25">
      <c r="C75" s="88"/>
      <c r="F75" t="s">
        <v>752</v>
      </c>
      <c r="G75" t="s">
        <v>268</v>
      </c>
      <c r="H75" s="271"/>
      <c r="I75" s="271"/>
      <c r="J75" s="289">
        <f t="shared" ref="J75:K75" si="73">-J21</f>
        <v>-0.88300920268903393</v>
      </c>
      <c r="K75" s="289">
        <f t="shared" si="73"/>
        <v>-0.88300920268903393</v>
      </c>
      <c r="L75" s="289">
        <f t="shared" ref="L75:M75" si="74">-L21</f>
        <v>-1.0256196578648074</v>
      </c>
      <c r="M75" s="289">
        <f t="shared" si="74"/>
        <v>-1.0256196578648074</v>
      </c>
      <c r="N75" s="289">
        <f t="shared" ref="N75:P75" si="75">-N21</f>
        <v>-0.66594714340259142</v>
      </c>
      <c r="O75" s="289">
        <f t="shared" si="75"/>
        <v>-0.35402490513798557</v>
      </c>
      <c r="P75" s="289">
        <f t="shared" si="75"/>
        <v>-0.25261633874531259</v>
      </c>
      <c r="Q75" s="289">
        <f t="shared" ref="Q75:S75" si="76">-Q21</f>
        <v>-0.66594714340259142</v>
      </c>
      <c r="R75" s="289">
        <f t="shared" si="76"/>
        <v>-0.35402490513798557</v>
      </c>
      <c r="S75" s="289">
        <f t="shared" si="76"/>
        <v>-0.25261633874531259</v>
      </c>
      <c r="T75" s="289">
        <f t="shared" ref="T75:V75" si="77">-T21</f>
        <v>-1.1952447724229316</v>
      </c>
      <c r="U75" s="289">
        <f t="shared" si="77"/>
        <v>0.63144411448010185</v>
      </c>
      <c r="V75" s="289">
        <f t="shared" si="77"/>
        <v>0.54797375527131609</v>
      </c>
      <c r="W75" s="289">
        <f t="shared" ref="W75:X75" si="78">-W21</f>
        <v>0.63144411448010185</v>
      </c>
      <c r="X75" s="289">
        <f t="shared" si="78"/>
        <v>0.63144411448010185</v>
      </c>
      <c r="Y75" s="289">
        <f t="shared" ref="Y75:Z75" si="79">-Y21</f>
        <v>0.54797375527131609</v>
      </c>
      <c r="Z75" s="289">
        <f t="shared" si="79"/>
        <v>0.54797375527131609</v>
      </c>
      <c r="AA75" s="289">
        <f t="shared" ref="AA75:AB75" si="80">-AA21</f>
        <v>0.31633967493658671</v>
      </c>
      <c r="AB75" s="289">
        <f t="shared" si="80"/>
        <v>0.31633967493658671</v>
      </c>
      <c r="AC75" s="271"/>
      <c r="AD75" s="271"/>
      <c r="AE75" s="271"/>
      <c r="AF75" s="271"/>
      <c r="AG75" s="271"/>
      <c r="AH75" s="271"/>
      <c r="AI75" s="271"/>
      <c r="AJ75" s="271"/>
      <c r="AK75" s="271"/>
      <c r="AL75" s="271"/>
      <c r="AM75" s="271"/>
      <c r="AN75" s="271"/>
      <c r="AO75" s="271"/>
      <c r="AP75" s="271"/>
      <c r="AQ75" s="271"/>
      <c r="AR75" s="271"/>
      <c r="AS75" s="271"/>
      <c r="AT75" s="271"/>
      <c r="AU75" s="271"/>
      <c r="AV75" s="271"/>
      <c r="AW75" s="271"/>
      <c r="AX75" s="271"/>
      <c r="AY75" s="271"/>
      <c r="AZ75" s="271"/>
      <c r="BA75" s="271"/>
      <c r="BB75" s="271"/>
      <c r="BC75" s="271"/>
      <c r="BD75" s="271"/>
      <c r="BE75" s="271"/>
      <c r="BF75" s="271"/>
      <c r="BG75" s="271"/>
      <c r="BH75" s="271"/>
      <c r="BI75" s="271"/>
      <c r="BJ75" s="271"/>
      <c r="BK75" s="271"/>
      <c r="BL75" s="271"/>
      <c r="BM75" s="271"/>
      <c r="BN75" s="271"/>
      <c r="BO75" s="271"/>
      <c r="BP75" s="271"/>
    </row>
    <row r="76" spans="3:68" x14ac:dyDescent="0.25">
      <c r="C76" s="88"/>
      <c r="F76" s="37" t="s">
        <v>753</v>
      </c>
      <c r="G76" s="37" t="s">
        <v>268</v>
      </c>
      <c r="H76" s="275"/>
      <c r="I76" s="275"/>
      <c r="J76" s="291">
        <f t="shared" ref="J76:K76" si="81">-J22</f>
        <v>-2.2825020549340613E-2</v>
      </c>
      <c r="K76" s="291">
        <f t="shared" si="81"/>
        <v>-2.2825020549340613E-2</v>
      </c>
      <c r="L76" s="291">
        <f t="shared" ref="L76:M76" si="82">-L22</f>
        <v>-2.6511376886313207E-2</v>
      </c>
      <c r="M76" s="291">
        <f t="shared" si="82"/>
        <v>-2.6511376886313207E-2</v>
      </c>
      <c r="N76" s="291">
        <f t="shared" ref="N76:P76" si="83">-N22</f>
        <v>-1.6180688220383998E-2</v>
      </c>
      <c r="O76" s="291">
        <f t="shared" si="83"/>
        <v>-6.782565073577133E-3</v>
      </c>
      <c r="P76" s="291">
        <f t="shared" si="83"/>
        <v>-4.0498989835803315E-3</v>
      </c>
      <c r="Q76" s="291">
        <f t="shared" ref="Q76:S76" si="84">-Q22</f>
        <v>-1.6180688220383998E-2</v>
      </c>
      <c r="R76" s="291">
        <f t="shared" si="84"/>
        <v>-6.782565073577133E-3</v>
      </c>
      <c r="S76" s="291">
        <f t="shared" si="84"/>
        <v>-4.0498989835803315E-3</v>
      </c>
      <c r="T76" s="291">
        <f t="shared" ref="T76:V76" si="85">-T22</f>
        <v>-0.44929121314425297</v>
      </c>
      <c r="U76" s="291">
        <f t="shared" si="85"/>
        <v>1.632228163067535E-2</v>
      </c>
      <c r="V76" s="291">
        <f t="shared" si="85"/>
        <v>1.3737723553938727E-2</v>
      </c>
      <c r="W76" s="291">
        <f t="shared" ref="W76:X76" si="86">-W22</f>
        <v>1.632228163067535E-2</v>
      </c>
      <c r="X76" s="291">
        <f t="shared" si="86"/>
        <v>1.632228163067535E-2</v>
      </c>
      <c r="Y76" s="291">
        <f t="shared" ref="Y76:Z76" si="87">-Y22</f>
        <v>1.3737723553938727E-2</v>
      </c>
      <c r="Z76" s="291">
        <f t="shared" si="87"/>
        <v>1.3737723553938727E-2</v>
      </c>
      <c r="AA76" s="291">
        <f t="shared" ref="AA76:AB76" si="88">-AA22</f>
        <v>6.0015573611233893E-3</v>
      </c>
      <c r="AB76" s="291">
        <f t="shared" si="88"/>
        <v>6.0015573611233893E-3</v>
      </c>
      <c r="AC76" s="271"/>
      <c r="AD76" s="271"/>
      <c r="AE76" s="271"/>
      <c r="AF76" s="271"/>
      <c r="AG76" s="271"/>
      <c r="AH76" s="271"/>
      <c r="AI76" s="271"/>
      <c r="AJ76" s="271"/>
      <c r="AK76" s="271"/>
      <c r="AL76" s="271"/>
      <c r="AM76" s="271"/>
      <c r="AN76" s="271"/>
      <c r="AO76" s="271"/>
      <c r="AP76" s="271"/>
      <c r="AQ76" s="271"/>
      <c r="AR76" s="271"/>
      <c r="AS76" s="271"/>
      <c r="AT76" s="271"/>
      <c r="AU76" s="271"/>
      <c r="AV76" s="271"/>
      <c r="AW76" s="271"/>
      <c r="AX76" s="271"/>
      <c r="AY76" s="271"/>
      <c r="AZ76" s="271"/>
      <c r="BA76" s="271"/>
      <c r="BB76" s="271"/>
      <c r="BC76" s="271"/>
      <c r="BD76" s="271"/>
      <c r="BE76" s="271"/>
      <c r="BF76" s="271"/>
      <c r="BG76" s="271"/>
      <c r="BH76" s="271"/>
      <c r="BI76" s="271"/>
      <c r="BJ76" s="271"/>
      <c r="BK76" s="271"/>
      <c r="BL76" s="271"/>
      <c r="BM76" s="271"/>
      <c r="BN76" s="271"/>
      <c r="BO76" s="271"/>
      <c r="BP76" s="271"/>
    </row>
    <row r="77" spans="3:68" x14ac:dyDescent="0.25">
      <c r="C77" s="88"/>
      <c r="F77" s="2"/>
      <c r="J77" s="89"/>
      <c r="K77" s="89"/>
      <c r="L77" s="89"/>
      <c r="M77" s="89"/>
      <c r="N77" s="89"/>
      <c r="O77" s="89"/>
      <c r="P77" s="89"/>
      <c r="Q77" s="89"/>
      <c r="R77" s="89"/>
      <c r="S77" s="89"/>
      <c r="T77" s="89"/>
      <c r="U77" s="89"/>
      <c r="V77" s="89"/>
      <c r="W77" s="89"/>
      <c r="X77" s="89"/>
      <c r="Y77" s="89"/>
      <c r="Z77" s="89"/>
      <c r="AA77" s="89"/>
      <c r="AB77" s="89"/>
    </row>
    <row r="78" spans="3:68" x14ac:dyDescent="0.25">
      <c r="E78" s="32" t="s">
        <v>754</v>
      </c>
      <c r="H78" s="210"/>
      <c r="I78" s="210"/>
      <c r="J78" s="89"/>
      <c r="K78" s="89"/>
      <c r="L78" s="89"/>
      <c r="M78" s="89"/>
      <c r="N78" s="89"/>
      <c r="O78" s="89"/>
      <c r="P78" s="89"/>
      <c r="Q78" s="89"/>
      <c r="R78" s="89"/>
      <c r="S78" s="89"/>
      <c r="T78" s="89"/>
      <c r="U78" s="89"/>
      <c r="V78" s="89"/>
      <c r="W78" s="89"/>
      <c r="X78" s="89"/>
      <c r="Y78" s="89"/>
      <c r="Z78" s="89"/>
      <c r="AA78" s="89"/>
      <c r="AB78" s="89"/>
    </row>
    <row r="79" spans="3:68" x14ac:dyDescent="0.25">
      <c r="E79" s="29" t="s">
        <v>755</v>
      </c>
      <c r="H79" s="210"/>
      <c r="I79" s="210"/>
      <c r="J79" s="89"/>
      <c r="K79" s="89"/>
      <c r="L79" s="89"/>
      <c r="M79" s="89"/>
      <c r="N79" s="89"/>
      <c r="O79" s="89"/>
      <c r="P79" s="89"/>
      <c r="Q79" s="89"/>
      <c r="R79" s="89"/>
      <c r="S79" s="89"/>
      <c r="T79" s="89"/>
      <c r="U79" s="89"/>
      <c r="V79" s="89"/>
      <c r="W79" s="89"/>
      <c r="X79" s="89"/>
      <c r="Y79" s="89"/>
      <c r="Z79" s="89"/>
      <c r="AA79" s="89"/>
      <c r="AB79" s="89"/>
    </row>
    <row r="80" spans="3:68" x14ac:dyDescent="0.25">
      <c r="D80"/>
      <c r="E80" s="29" t="s">
        <v>756</v>
      </c>
      <c r="H80" s="210"/>
      <c r="I80" s="210"/>
      <c r="J80" s="89"/>
      <c r="K80" s="89"/>
      <c r="L80" s="89"/>
      <c r="M80" s="89"/>
      <c r="N80" s="89"/>
      <c r="O80" s="89"/>
      <c r="P80" s="89"/>
      <c r="Q80" s="89"/>
      <c r="R80" s="89"/>
      <c r="S80" s="89"/>
      <c r="T80" s="89"/>
      <c r="U80" s="89"/>
      <c r="V80" s="89"/>
      <c r="W80" s="89"/>
      <c r="X80" s="89"/>
      <c r="Y80" s="89"/>
      <c r="Z80" s="89"/>
      <c r="AA80" s="89"/>
      <c r="AB80" s="89"/>
    </row>
    <row r="81" spans="3:68" x14ac:dyDescent="0.25">
      <c r="D81"/>
      <c r="E81" s="29" t="s">
        <v>757</v>
      </c>
      <c r="H81" s="210"/>
      <c r="I81" s="210"/>
      <c r="J81" s="89"/>
      <c r="K81" s="89"/>
      <c r="L81" s="89"/>
      <c r="M81" s="89"/>
      <c r="N81" s="89"/>
      <c r="O81" s="89"/>
      <c r="P81" s="89"/>
      <c r="Q81" s="89"/>
      <c r="R81" s="89"/>
      <c r="S81" s="89"/>
      <c r="T81" s="89"/>
      <c r="U81" s="89"/>
      <c r="V81" s="89"/>
      <c r="W81" s="89"/>
      <c r="X81" s="89"/>
      <c r="Y81" s="89"/>
      <c r="Z81" s="89"/>
      <c r="AA81" s="89"/>
      <c r="AB81" s="89"/>
    </row>
    <row r="82" spans="3:68" x14ac:dyDescent="0.25">
      <c r="F82" s="23" t="s">
        <v>758</v>
      </c>
      <c r="G82" s="23" t="s">
        <v>206</v>
      </c>
      <c r="H82" s="23"/>
      <c r="I82" s="23"/>
      <c r="J82" s="126">
        <f t="shared" ref="J82:K82" si="89">J29</f>
        <v>744507.47595921555</v>
      </c>
      <c r="K82" s="126">
        <f t="shared" si="89"/>
        <v>1327.5662846544521</v>
      </c>
      <c r="L82" s="126">
        <f t="shared" ref="L82:M82" si="90">L29</f>
        <v>188973.52230875273</v>
      </c>
      <c r="M82" s="126">
        <f t="shared" si="90"/>
        <v>4172.2410596369182</v>
      </c>
      <c r="N82" s="126">
        <f t="shared" ref="N82:P82" si="91">N29</f>
        <v>282075.14358760114</v>
      </c>
      <c r="O82" s="126">
        <f t="shared" si="91"/>
        <v>23010.444191422164</v>
      </c>
      <c r="P82" s="126">
        <f t="shared" si="91"/>
        <v>326311.94038013439</v>
      </c>
      <c r="Q82" s="83"/>
      <c r="R82" s="83"/>
      <c r="S82" s="83"/>
      <c r="T82" s="126">
        <f t="shared" ref="T82" si="92">T29</f>
        <v>13868.974697310709</v>
      </c>
      <c r="U82" s="83"/>
      <c r="V82" s="83"/>
      <c r="W82" s="83"/>
      <c r="X82" s="83"/>
      <c r="Y82" s="83"/>
      <c r="Z82" s="83"/>
      <c r="AA82" s="83"/>
      <c r="AB82" s="83"/>
    </row>
    <row r="83" spans="3:68" x14ac:dyDescent="0.25">
      <c r="C83" s="88"/>
      <c r="F83" t="s">
        <v>759</v>
      </c>
      <c r="G83" t="s">
        <v>206</v>
      </c>
      <c r="J83" s="98">
        <f t="shared" ref="J83:K83" si="93">J30</f>
        <v>2645097.8394225296</v>
      </c>
      <c r="K83" s="98">
        <f t="shared" si="93"/>
        <v>24035.071762789463</v>
      </c>
      <c r="L83" s="98">
        <f t="shared" ref="L83:M83" si="94">L30</f>
        <v>1023624.1876166349</v>
      </c>
      <c r="M83" s="98">
        <f t="shared" si="94"/>
        <v>25319.415482001521</v>
      </c>
      <c r="N83" s="98">
        <f t="shared" ref="N83:P83" si="95">N30</f>
        <v>1350126.3314036345</v>
      </c>
      <c r="O83" s="98">
        <f t="shared" si="95"/>
        <v>107501.34408049645</v>
      </c>
      <c r="P83" s="98">
        <f t="shared" si="95"/>
        <v>1514334.2001053796</v>
      </c>
      <c r="Q83" s="79"/>
      <c r="R83" s="79"/>
      <c r="S83" s="79"/>
      <c r="T83" s="98">
        <f t="shared" ref="T83" si="96">T30</f>
        <v>52882.399972899948</v>
      </c>
      <c r="U83" s="79"/>
      <c r="V83" s="79"/>
      <c r="W83" s="79"/>
      <c r="X83" s="79"/>
      <c r="Y83" s="79"/>
      <c r="Z83" s="79"/>
      <c r="AA83" s="79"/>
      <c r="AB83" s="79"/>
    </row>
    <row r="84" spans="3:68" x14ac:dyDescent="0.25">
      <c r="C84" s="88"/>
      <c r="F84" s="37" t="s">
        <v>760</v>
      </c>
      <c r="G84" s="37" t="s">
        <v>206</v>
      </c>
      <c r="H84" s="37"/>
      <c r="I84" s="37"/>
      <c r="J84" s="100">
        <f t="shared" ref="J84:K84" si="97">J31</f>
        <v>2435994.0010482869</v>
      </c>
      <c r="K84" s="100">
        <f t="shared" si="97"/>
        <v>245515.14232274992</v>
      </c>
      <c r="L84" s="100">
        <f t="shared" ref="L84:M84" si="98">L31</f>
        <v>988714.59609282145</v>
      </c>
      <c r="M84" s="100">
        <f t="shared" si="98"/>
        <v>52561.158034119573</v>
      </c>
      <c r="N84" s="100">
        <f t="shared" ref="N84:P84" si="99">N31</f>
        <v>1179031.4355710328</v>
      </c>
      <c r="O84" s="100">
        <f t="shared" si="99"/>
        <v>106315.97183163626</v>
      </c>
      <c r="P84" s="100">
        <f t="shared" si="99"/>
        <v>1621310.6751782417</v>
      </c>
      <c r="Q84" s="81"/>
      <c r="R84" s="81"/>
      <c r="S84" s="81"/>
      <c r="T84" s="100">
        <f t="shared" ref="T84" si="100">T31</f>
        <v>189423.97703070924</v>
      </c>
      <c r="U84" s="81"/>
      <c r="V84" s="81"/>
      <c r="W84" s="81"/>
      <c r="X84" s="81"/>
      <c r="Y84" s="81"/>
      <c r="Z84" s="81"/>
      <c r="AA84" s="81"/>
      <c r="AB84" s="81"/>
    </row>
    <row r="85" spans="3:68" x14ac:dyDescent="0.25">
      <c r="C85" s="88"/>
      <c r="F85" s="2"/>
    </row>
    <row r="86" spans="3:68" x14ac:dyDescent="0.25">
      <c r="E86" s="32" t="s">
        <v>761</v>
      </c>
      <c r="H86" s="210"/>
      <c r="I86" s="210" t="s">
        <v>153</v>
      </c>
      <c r="BP86" t="s">
        <v>762</v>
      </c>
    </row>
    <row r="87" spans="3:68" x14ac:dyDescent="0.25">
      <c r="E87" s="29" t="s">
        <v>763</v>
      </c>
      <c r="H87" s="210"/>
      <c r="I87" s="210"/>
    </row>
    <row r="88" spans="3:68" x14ac:dyDescent="0.25">
      <c r="D88"/>
      <c r="E88" s="29" t="s">
        <v>764</v>
      </c>
      <c r="H88" s="210"/>
      <c r="I88" s="210"/>
    </row>
    <row r="89" spans="3:68" x14ac:dyDescent="0.25">
      <c r="D89"/>
      <c r="E89" s="29" t="s">
        <v>765</v>
      </c>
      <c r="H89" s="210"/>
      <c r="I89" s="210"/>
    </row>
    <row r="90" spans="3:68" x14ac:dyDescent="0.25">
      <c r="E90" s="88"/>
      <c r="F90" t="s">
        <v>766</v>
      </c>
      <c r="G90" t="s">
        <v>268</v>
      </c>
      <c r="H90" s="289">
        <f>H60/SUM(J82:AB84)/ten</f>
        <v>1.147104687642698</v>
      </c>
      <c r="I90" s="271"/>
      <c r="J90" s="271"/>
      <c r="K90" s="271"/>
      <c r="L90" s="271"/>
      <c r="M90" s="271"/>
      <c r="N90" s="271"/>
      <c r="O90" s="271"/>
      <c r="P90" s="271"/>
      <c r="Q90" s="271"/>
      <c r="R90" s="271"/>
      <c r="S90" s="271"/>
      <c r="T90" s="271"/>
      <c r="U90" s="271"/>
      <c r="V90" s="271"/>
      <c r="W90" s="271"/>
      <c r="X90" s="271"/>
      <c r="Y90" s="271"/>
      <c r="Z90" s="271"/>
      <c r="AA90" s="271"/>
      <c r="AB90" s="271"/>
      <c r="AC90" s="271"/>
      <c r="AD90" s="271"/>
      <c r="AE90" s="271"/>
      <c r="AF90" s="271"/>
      <c r="AG90" s="271"/>
      <c r="AH90" s="271"/>
      <c r="AI90" s="271"/>
      <c r="AJ90" s="271"/>
      <c r="AK90" s="271"/>
      <c r="AL90" s="271"/>
      <c r="AM90" s="271"/>
      <c r="AN90" s="271"/>
      <c r="AO90" s="271"/>
      <c r="AP90" s="271"/>
      <c r="AQ90" s="271"/>
      <c r="AR90" s="271"/>
      <c r="AS90" s="271"/>
      <c r="AT90" s="271"/>
      <c r="AU90" s="271"/>
      <c r="AV90" s="271"/>
      <c r="AW90" s="271"/>
      <c r="AX90" s="271"/>
      <c r="AY90" s="271"/>
      <c r="AZ90" s="271"/>
      <c r="BA90" s="271"/>
      <c r="BB90" s="271"/>
      <c r="BC90" s="271"/>
      <c r="BD90" s="271"/>
      <c r="BE90" s="271"/>
      <c r="BF90" s="271"/>
      <c r="BG90" s="271"/>
      <c r="BH90" s="271"/>
      <c r="BI90" s="271"/>
      <c r="BJ90" s="271"/>
      <c r="BK90" s="271"/>
      <c r="BL90" s="271"/>
      <c r="BM90" s="271"/>
      <c r="BN90" s="271"/>
      <c r="BO90" s="271"/>
      <c r="BP90" s="271"/>
    </row>
    <row r="91" spans="3:68" x14ac:dyDescent="0.25">
      <c r="D91" s="88"/>
    </row>
    <row r="92" spans="3:68" x14ac:dyDescent="0.25">
      <c r="C92" s="31" t="str">
        <f ca="1">INDEX('Version control'!$H$34:$H$57,MATCH($A$1,'Version control'!$F$34:$F$57,0),1)&amp;"-D: Algorithm to find constrained adder solution"</f>
        <v>Section 115-D: Algorithm to find constrained adder solution</v>
      </c>
      <c r="D92" s="31"/>
      <c r="E92" s="31"/>
      <c r="F92" s="31"/>
      <c r="G92" s="31"/>
      <c r="H92" s="31"/>
      <c r="I92" s="31"/>
      <c r="J92" s="31"/>
      <c r="K92" s="31"/>
      <c r="L92" s="31"/>
      <c r="M92" s="31"/>
      <c r="N92" s="31"/>
      <c r="O92" s="31"/>
      <c r="P92" s="31"/>
      <c r="Q92" s="31"/>
      <c r="R92" s="31"/>
      <c r="S92" s="31"/>
      <c r="T92" s="31"/>
      <c r="U92" s="31"/>
      <c r="V92" s="31"/>
      <c r="W92" s="31"/>
      <c r="X92" s="31"/>
      <c r="Y92" s="31"/>
      <c r="Z92" s="31"/>
      <c r="AA92" s="31"/>
      <c r="AB92" s="31"/>
      <c r="AC92" s="31"/>
      <c r="AD92" s="31"/>
      <c r="AE92" s="31"/>
      <c r="AF92" s="31"/>
      <c r="AG92" s="31"/>
      <c r="AH92" s="31"/>
      <c r="AI92" s="31"/>
      <c r="AJ92" s="31"/>
      <c r="AK92" s="31"/>
      <c r="AL92" s="31"/>
      <c r="AM92" s="31"/>
      <c r="AN92" s="31"/>
      <c r="AO92" s="31"/>
      <c r="AP92" s="31"/>
      <c r="AQ92" s="31"/>
      <c r="AR92" s="31"/>
      <c r="AS92" s="31"/>
      <c r="AT92" s="31"/>
      <c r="AU92" s="31"/>
      <c r="AV92" s="31"/>
      <c r="AW92" s="31"/>
      <c r="AX92" s="31"/>
      <c r="AY92" s="31"/>
      <c r="AZ92" s="31"/>
      <c r="BA92" s="31"/>
      <c r="BB92" s="31"/>
      <c r="BC92" s="31"/>
      <c r="BD92" s="31"/>
      <c r="BE92" s="31"/>
      <c r="BF92" s="31"/>
      <c r="BG92" s="31"/>
      <c r="BH92" s="31"/>
      <c r="BI92" s="31"/>
      <c r="BJ92" s="31"/>
      <c r="BK92" s="31"/>
      <c r="BL92" s="31"/>
      <c r="BM92" s="31"/>
      <c r="BN92" s="31"/>
      <c r="BO92" s="31"/>
      <c r="BP92" s="31"/>
    </row>
    <row r="93" spans="3:68" x14ac:dyDescent="0.25">
      <c r="D93" s="88"/>
    </row>
    <row r="94" spans="3:68" x14ac:dyDescent="0.25">
      <c r="D94" s="29" t="s">
        <v>767</v>
      </c>
      <c r="E94"/>
      <c r="I94" t="s">
        <v>153</v>
      </c>
      <c r="BP94" t="s">
        <v>762</v>
      </c>
    </row>
    <row r="95" spans="3:68" x14ac:dyDescent="0.25">
      <c r="D95" s="29" t="s">
        <v>768</v>
      </c>
      <c r="E95"/>
    </row>
    <row r="96" spans="3:68" x14ac:dyDescent="0.25">
      <c r="D96" s="29" t="s">
        <v>769</v>
      </c>
      <c r="E96"/>
    </row>
    <row r="97" spans="3:68" outlineLevel="1" x14ac:dyDescent="0.25"/>
    <row r="98" spans="3:68" outlineLevel="1" x14ac:dyDescent="0.25">
      <c r="D98" s="32" t="s">
        <v>770</v>
      </c>
      <c r="E98"/>
      <c r="H98" s="210"/>
      <c r="I98" s="210"/>
    </row>
    <row r="99" spans="3:68" outlineLevel="1" x14ac:dyDescent="0.25">
      <c r="D99" s="32" t="s">
        <v>771</v>
      </c>
      <c r="E99"/>
      <c r="H99" s="210"/>
      <c r="I99" s="210"/>
    </row>
    <row r="100" spans="3:68" outlineLevel="1" x14ac:dyDescent="0.25">
      <c r="D100" s="32"/>
      <c r="E100"/>
      <c r="H100" s="210"/>
      <c r="I100" s="210"/>
    </row>
    <row r="101" spans="3:68" ht="75" outlineLevel="1" x14ac:dyDescent="0.25">
      <c r="D101"/>
      <c r="E101" s="211" t="s">
        <v>772</v>
      </c>
      <c r="F101" s="211"/>
      <c r="G101" s="211"/>
      <c r="H101" s="212"/>
      <c r="I101" s="211"/>
      <c r="J101" s="61" t="s">
        <v>909</v>
      </c>
      <c r="K101" s="61" t="s">
        <v>910</v>
      </c>
      <c r="L101" s="61" t="s">
        <v>911</v>
      </c>
      <c r="M101" s="61" t="s">
        <v>912</v>
      </c>
      <c r="N101" s="61" t="s">
        <v>913</v>
      </c>
      <c r="O101" s="61" t="s">
        <v>914</v>
      </c>
      <c r="P101" s="61" t="s">
        <v>915</v>
      </c>
      <c r="Q101" s="61" t="s">
        <v>1038</v>
      </c>
      <c r="R101" s="61" t="s">
        <v>1039</v>
      </c>
      <c r="S101" s="61" t="s">
        <v>1040</v>
      </c>
      <c r="T101" s="61" t="s">
        <v>916</v>
      </c>
      <c r="U101" s="61" t="s">
        <v>917</v>
      </c>
      <c r="V101" s="61" t="s">
        <v>918</v>
      </c>
      <c r="W101" s="61" t="s">
        <v>919</v>
      </c>
      <c r="X101" s="61" t="s">
        <v>920</v>
      </c>
      <c r="Y101" s="61" t="s">
        <v>921</v>
      </c>
      <c r="Z101" s="61" t="s">
        <v>922</v>
      </c>
      <c r="AA101" s="61" t="s">
        <v>923</v>
      </c>
      <c r="AB101" s="61" t="s">
        <v>924</v>
      </c>
      <c r="AC101" s="61" t="s">
        <v>925</v>
      </c>
      <c r="AD101" s="61" t="s">
        <v>926</v>
      </c>
      <c r="AE101" s="61" t="s">
        <v>927</v>
      </c>
      <c r="AF101" s="61" t="s">
        <v>928</v>
      </c>
      <c r="AG101" s="61" t="s">
        <v>929</v>
      </c>
      <c r="AH101" s="61" t="s">
        <v>930</v>
      </c>
      <c r="AI101" s="61" t="s">
        <v>931</v>
      </c>
      <c r="AJ101" s="61" t="s">
        <v>1041</v>
      </c>
      <c r="AK101" s="61" t="s">
        <v>1042</v>
      </c>
      <c r="AL101" s="61" t="s">
        <v>1043</v>
      </c>
      <c r="AM101" s="61" t="s">
        <v>932</v>
      </c>
      <c r="AN101" s="61" t="s">
        <v>933</v>
      </c>
      <c r="AO101" s="61" t="s">
        <v>934</v>
      </c>
      <c r="AP101" s="61" t="s">
        <v>935</v>
      </c>
      <c r="AQ101" s="61" t="s">
        <v>936</v>
      </c>
      <c r="AR101" s="61" t="s">
        <v>937</v>
      </c>
      <c r="AS101" s="61" t="s">
        <v>938</v>
      </c>
      <c r="AT101" s="61" t="s">
        <v>939</v>
      </c>
      <c r="AU101" s="61" t="s">
        <v>940</v>
      </c>
      <c r="AV101" s="61" t="s">
        <v>941</v>
      </c>
      <c r="AW101" s="61" t="s">
        <v>942</v>
      </c>
      <c r="AX101" s="61" t="s">
        <v>943</v>
      </c>
      <c r="AY101" s="61" t="s">
        <v>944</v>
      </c>
      <c r="AZ101" s="61" t="s">
        <v>945</v>
      </c>
      <c r="BA101" s="61" t="s">
        <v>946</v>
      </c>
      <c r="BB101" s="61" t="s">
        <v>947</v>
      </c>
      <c r="BC101" s="61" t="s">
        <v>1044</v>
      </c>
      <c r="BD101" s="61" t="s">
        <v>1045</v>
      </c>
      <c r="BE101" s="61" t="s">
        <v>1046</v>
      </c>
      <c r="BF101" s="61" t="s">
        <v>948</v>
      </c>
      <c r="BG101" s="61" t="s">
        <v>949</v>
      </c>
      <c r="BH101" s="61" t="s">
        <v>950</v>
      </c>
      <c r="BI101" s="61" t="s">
        <v>951</v>
      </c>
      <c r="BJ101" s="61" t="s">
        <v>952</v>
      </c>
      <c r="BK101" s="61" t="s">
        <v>953</v>
      </c>
      <c r="BL101" s="61" t="s">
        <v>954</v>
      </c>
      <c r="BM101" s="61" t="s">
        <v>955</v>
      </c>
      <c r="BN101" s="61" t="s">
        <v>956</v>
      </c>
    </row>
    <row r="102" spans="3:68" outlineLevel="1" x14ac:dyDescent="0.25">
      <c r="C102" s="88"/>
      <c r="E102" t="s">
        <v>773</v>
      </c>
      <c r="G102" t="s">
        <v>268</v>
      </c>
      <c r="H102" s="271"/>
      <c r="I102" s="271"/>
      <c r="J102" s="271">
        <f t="shared" ref="J102:K102" si="101">J74</f>
        <v>-9.0075798509575993</v>
      </c>
      <c r="K102" s="271">
        <f t="shared" si="101"/>
        <v>-9.0075798509575993</v>
      </c>
      <c r="L102" s="271">
        <f t="shared" ref="L102:M102" si="102">L74</f>
        <v>-10.462349584574492</v>
      </c>
      <c r="M102" s="271">
        <f t="shared" si="102"/>
        <v>-10.462349584574492</v>
      </c>
      <c r="N102" s="271">
        <f t="shared" ref="N102:P102" si="103">N74</f>
        <v>-7.0335580755778464</v>
      </c>
      <c r="O102" s="271">
        <f t="shared" si="103"/>
        <v>-4.1620061131966093</v>
      </c>
      <c r="P102" s="271">
        <f t="shared" si="103"/>
        <v>-3.1534185792984371</v>
      </c>
      <c r="Q102" s="271">
        <f t="shared" ref="Q102:S102" si="104">Q74</f>
        <v>-7.0335580755778464</v>
      </c>
      <c r="R102" s="271">
        <f t="shared" si="104"/>
        <v>-4.1620061131966093</v>
      </c>
      <c r="S102" s="271">
        <f t="shared" si="104"/>
        <v>-3.1534185792984371</v>
      </c>
      <c r="T102" s="271">
        <f t="shared" ref="T102:V102" si="105">T74</f>
        <v>-21.581103155032686</v>
      </c>
      <c r="U102" s="271">
        <f t="shared" si="105"/>
        <v>6.4413635387668471</v>
      </c>
      <c r="V102" s="271">
        <f t="shared" si="105"/>
        <v>5.6891199709087141</v>
      </c>
      <c r="W102" s="271">
        <f t="shared" ref="W102:X102" si="106">W74</f>
        <v>6.4413635387668471</v>
      </c>
      <c r="X102" s="271">
        <f t="shared" si="106"/>
        <v>6.4413635387668471</v>
      </c>
      <c r="Y102" s="271">
        <f t="shared" ref="Y102:Z102" si="107">Y74</f>
        <v>5.6891199709087141</v>
      </c>
      <c r="Z102" s="271">
        <f t="shared" si="107"/>
        <v>5.6891199709087141</v>
      </c>
      <c r="AA102" s="271">
        <f t="shared" ref="AA102:AB102" si="108">AA74</f>
        <v>3.732687631507082</v>
      </c>
      <c r="AB102" s="292">
        <f t="shared" si="108"/>
        <v>3.732687631507082</v>
      </c>
      <c r="AC102" s="271">
        <f t="shared" ref="AC102:AU102" si="109">J75</f>
        <v>-0.88300920268903393</v>
      </c>
      <c r="AD102" s="271">
        <f t="shared" si="109"/>
        <v>-0.88300920268903393</v>
      </c>
      <c r="AE102" s="271">
        <f t="shared" si="109"/>
        <v>-1.0256196578648074</v>
      </c>
      <c r="AF102" s="271">
        <f t="shared" si="109"/>
        <v>-1.0256196578648074</v>
      </c>
      <c r="AG102" s="271">
        <f t="shared" si="109"/>
        <v>-0.66594714340259142</v>
      </c>
      <c r="AH102" s="271">
        <f t="shared" si="109"/>
        <v>-0.35402490513798557</v>
      </c>
      <c r="AI102" s="271">
        <f t="shared" si="109"/>
        <v>-0.25261633874531259</v>
      </c>
      <c r="AJ102" s="271">
        <f t="shared" si="109"/>
        <v>-0.66594714340259142</v>
      </c>
      <c r="AK102" s="271">
        <f t="shared" si="109"/>
        <v>-0.35402490513798557</v>
      </c>
      <c r="AL102" s="271">
        <f t="shared" si="109"/>
        <v>-0.25261633874531259</v>
      </c>
      <c r="AM102" s="271">
        <f t="shared" si="109"/>
        <v>-1.1952447724229316</v>
      </c>
      <c r="AN102" s="271">
        <f t="shared" si="109"/>
        <v>0.63144411448010185</v>
      </c>
      <c r="AO102" s="271">
        <f t="shared" si="109"/>
        <v>0.54797375527131609</v>
      </c>
      <c r="AP102" s="271">
        <f t="shared" si="109"/>
        <v>0.63144411448010185</v>
      </c>
      <c r="AQ102" s="271">
        <f t="shared" si="109"/>
        <v>0.63144411448010185</v>
      </c>
      <c r="AR102" s="271">
        <f t="shared" si="109"/>
        <v>0.54797375527131609</v>
      </c>
      <c r="AS102" s="271">
        <f t="shared" si="109"/>
        <v>0.54797375527131609</v>
      </c>
      <c r="AT102" s="271">
        <f t="shared" si="109"/>
        <v>0.31633967493658671</v>
      </c>
      <c r="AU102" s="292">
        <f t="shared" si="109"/>
        <v>0.31633967493658671</v>
      </c>
      <c r="AV102" s="271">
        <f t="shared" ref="AV102:BN102" si="110">J76</f>
        <v>-2.2825020549340613E-2</v>
      </c>
      <c r="AW102" s="271">
        <f t="shared" si="110"/>
        <v>-2.2825020549340613E-2</v>
      </c>
      <c r="AX102" s="271">
        <f t="shared" si="110"/>
        <v>-2.6511376886313207E-2</v>
      </c>
      <c r="AY102" s="271">
        <f t="shared" si="110"/>
        <v>-2.6511376886313207E-2</v>
      </c>
      <c r="AZ102" s="271">
        <f t="shared" si="110"/>
        <v>-1.6180688220383998E-2</v>
      </c>
      <c r="BA102" s="271">
        <f t="shared" si="110"/>
        <v>-6.782565073577133E-3</v>
      </c>
      <c r="BB102" s="271">
        <f t="shared" si="110"/>
        <v>-4.0498989835803315E-3</v>
      </c>
      <c r="BC102" s="271">
        <f t="shared" si="110"/>
        <v>-1.6180688220383998E-2</v>
      </c>
      <c r="BD102" s="271">
        <f t="shared" si="110"/>
        <v>-6.782565073577133E-3</v>
      </c>
      <c r="BE102" s="271">
        <f t="shared" si="110"/>
        <v>-4.0498989835803315E-3</v>
      </c>
      <c r="BF102" s="271">
        <f t="shared" si="110"/>
        <v>-0.44929121314425297</v>
      </c>
      <c r="BG102" s="271">
        <f t="shared" si="110"/>
        <v>1.632228163067535E-2</v>
      </c>
      <c r="BH102" s="271">
        <f t="shared" si="110"/>
        <v>1.3737723553938727E-2</v>
      </c>
      <c r="BI102" s="271">
        <f t="shared" si="110"/>
        <v>1.632228163067535E-2</v>
      </c>
      <c r="BJ102" s="271">
        <f t="shared" si="110"/>
        <v>1.632228163067535E-2</v>
      </c>
      <c r="BK102" s="271">
        <f t="shared" si="110"/>
        <v>1.3737723553938727E-2</v>
      </c>
      <c r="BL102" s="271">
        <f t="shared" si="110"/>
        <v>1.3737723553938727E-2</v>
      </c>
      <c r="BM102" s="271">
        <f t="shared" si="110"/>
        <v>6.0015573611233893E-3</v>
      </c>
      <c r="BN102" s="271">
        <f t="shared" si="110"/>
        <v>6.0015573611233893E-3</v>
      </c>
      <c r="BO102" s="271"/>
      <c r="BP102" s="271"/>
    </row>
    <row r="103" spans="3:68" outlineLevel="1" x14ac:dyDescent="0.25">
      <c r="C103" s="88"/>
      <c r="E103" t="s">
        <v>774</v>
      </c>
      <c r="G103" t="s">
        <v>206</v>
      </c>
      <c r="J103" s="98">
        <f t="shared" ref="J103:K103" si="111">J82</f>
        <v>744507.47595921555</v>
      </c>
      <c r="K103" s="98">
        <f t="shared" si="111"/>
        <v>1327.5662846544521</v>
      </c>
      <c r="L103" s="98">
        <f t="shared" ref="L103:M103" si="112">L82</f>
        <v>188973.52230875273</v>
      </c>
      <c r="M103" s="98">
        <f t="shared" si="112"/>
        <v>4172.2410596369182</v>
      </c>
      <c r="N103" s="98">
        <f t="shared" ref="N103:P103" si="113">N82</f>
        <v>282075.14358760114</v>
      </c>
      <c r="O103" s="98">
        <f t="shared" si="113"/>
        <v>23010.444191422164</v>
      </c>
      <c r="P103" s="98">
        <f t="shared" si="113"/>
        <v>326311.94038013439</v>
      </c>
      <c r="Q103" s="98">
        <f t="shared" ref="Q103:S103" si="114">Q82</f>
        <v>0</v>
      </c>
      <c r="R103" s="98">
        <f t="shared" si="114"/>
        <v>0</v>
      </c>
      <c r="S103" s="98">
        <f t="shared" si="114"/>
        <v>0</v>
      </c>
      <c r="T103" s="98">
        <f t="shared" ref="T103:V103" si="115">T82</f>
        <v>13868.974697310709</v>
      </c>
      <c r="U103" s="98">
        <f t="shared" si="115"/>
        <v>0</v>
      </c>
      <c r="V103" s="98">
        <f t="shared" si="115"/>
        <v>0</v>
      </c>
      <c r="W103" s="98">
        <f t="shared" ref="W103:X103" si="116">W82</f>
        <v>0</v>
      </c>
      <c r="X103" s="98">
        <f t="shared" si="116"/>
        <v>0</v>
      </c>
      <c r="Y103" s="98">
        <f t="shared" ref="Y103:Z103" si="117">Y82</f>
        <v>0</v>
      </c>
      <c r="Z103" s="98">
        <f t="shared" si="117"/>
        <v>0</v>
      </c>
      <c r="AA103" s="98">
        <f t="shared" ref="AA103:AB103" si="118">AA82</f>
        <v>0</v>
      </c>
      <c r="AB103" s="213">
        <f t="shared" si="118"/>
        <v>0</v>
      </c>
      <c r="AC103" s="98">
        <f t="shared" ref="AC103:AU103" si="119">J83</f>
        <v>2645097.8394225296</v>
      </c>
      <c r="AD103" s="98">
        <f t="shared" si="119"/>
        <v>24035.071762789463</v>
      </c>
      <c r="AE103" s="98">
        <f t="shared" si="119"/>
        <v>1023624.1876166349</v>
      </c>
      <c r="AF103" s="98">
        <f t="shared" si="119"/>
        <v>25319.415482001521</v>
      </c>
      <c r="AG103" s="98">
        <f t="shared" si="119"/>
        <v>1350126.3314036345</v>
      </c>
      <c r="AH103" s="98">
        <f t="shared" si="119"/>
        <v>107501.34408049645</v>
      </c>
      <c r="AI103" s="98">
        <f t="shared" si="119"/>
        <v>1514334.2001053796</v>
      </c>
      <c r="AJ103" s="98">
        <f t="shared" si="119"/>
        <v>0</v>
      </c>
      <c r="AK103" s="98">
        <f t="shared" si="119"/>
        <v>0</v>
      </c>
      <c r="AL103" s="98">
        <f t="shared" si="119"/>
        <v>0</v>
      </c>
      <c r="AM103" s="98">
        <f t="shared" si="119"/>
        <v>52882.399972899948</v>
      </c>
      <c r="AN103" s="98">
        <f t="shared" si="119"/>
        <v>0</v>
      </c>
      <c r="AO103" s="98">
        <f t="shared" si="119"/>
        <v>0</v>
      </c>
      <c r="AP103" s="98">
        <f t="shared" si="119"/>
        <v>0</v>
      </c>
      <c r="AQ103" s="98">
        <f t="shared" si="119"/>
        <v>0</v>
      </c>
      <c r="AR103" s="98">
        <f t="shared" si="119"/>
        <v>0</v>
      </c>
      <c r="AS103" s="98">
        <f t="shared" si="119"/>
        <v>0</v>
      </c>
      <c r="AT103" s="98">
        <f t="shared" si="119"/>
        <v>0</v>
      </c>
      <c r="AU103" s="213">
        <f t="shared" si="119"/>
        <v>0</v>
      </c>
      <c r="AV103" s="98">
        <f t="shared" ref="AV103:BN103" si="120">J84</f>
        <v>2435994.0010482869</v>
      </c>
      <c r="AW103" s="98">
        <f t="shared" si="120"/>
        <v>245515.14232274992</v>
      </c>
      <c r="AX103" s="98">
        <f t="shared" si="120"/>
        <v>988714.59609282145</v>
      </c>
      <c r="AY103" s="98">
        <f t="shared" si="120"/>
        <v>52561.158034119573</v>
      </c>
      <c r="AZ103" s="98">
        <f t="shared" si="120"/>
        <v>1179031.4355710328</v>
      </c>
      <c r="BA103" s="98">
        <f t="shared" si="120"/>
        <v>106315.97183163626</v>
      </c>
      <c r="BB103" s="98">
        <f t="shared" si="120"/>
        <v>1621310.6751782417</v>
      </c>
      <c r="BC103" s="98">
        <f t="shared" si="120"/>
        <v>0</v>
      </c>
      <c r="BD103" s="98">
        <f t="shared" si="120"/>
        <v>0</v>
      </c>
      <c r="BE103" s="98">
        <f t="shared" si="120"/>
        <v>0</v>
      </c>
      <c r="BF103" s="98">
        <f t="shared" si="120"/>
        <v>189423.97703070924</v>
      </c>
      <c r="BG103" s="98">
        <f t="shared" si="120"/>
        <v>0</v>
      </c>
      <c r="BH103" s="98">
        <f t="shared" si="120"/>
        <v>0</v>
      </c>
      <c r="BI103" s="98">
        <f t="shared" si="120"/>
        <v>0</v>
      </c>
      <c r="BJ103" s="98">
        <f t="shared" si="120"/>
        <v>0</v>
      </c>
      <c r="BK103" s="98">
        <f t="shared" si="120"/>
        <v>0</v>
      </c>
      <c r="BL103" s="98">
        <f t="shared" si="120"/>
        <v>0</v>
      </c>
      <c r="BM103" s="98">
        <f t="shared" si="120"/>
        <v>0</v>
      </c>
      <c r="BN103" s="98">
        <f t="shared" si="120"/>
        <v>0</v>
      </c>
    </row>
    <row r="104" spans="3:68" outlineLevel="1" x14ac:dyDescent="0.25">
      <c r="D104" s="29"/>
      <c r="E104" s="29"/>
      <c r="H104" s="210"/>
      <c r="I104" s="210"/>
    </row>
    <row r="105" spans="3:68" outlineLevel="1" x14ac:dyDescent="0.25">
      <c r="D105" s="32" t="s">
        <v>775</v>
      </c>
      <c r="E105"/>
      <c r="H105" s="210"/>
      <c r="I105" s="210"/>
    </row>
    <row r="106" spans="3:68" outlineLevel="1" x14ac:dyDescent="0.25">
      <c r="D106" s="32" t="s">
        <v>776</v>
      </c>
      <c r="E106"/>
      <c r="H106" s="210"/>
      <c r="I106" s="210"/>
    </row>
    <row r="107" spans="3:68" outlineLevel="1" x14ac:dyDescent="0.25">
      <c r="D107" s="32"/>
      <c r="E107"/>
      <c r="H107" s="210"/>
      <c r="I107" s="210"/>
    </row>
    <row r="108" spans="3:68" ht="75" outlineLevel="1" x14ac:dyDescent="0.25">
      <c r="D108"/>
      <c r="E108" s="211" t="s">
        <v>772</v>
      </c>
      <c r="F108" s="211"/>
      <c r="G108" s="211"/>
      <c r="H108" s="211"/>
      <c r="I108" s="211"/>
      <c r="J108" s="61" t="s">
        <v>909</v>
      </c>
      <c r="K108" s="61" t="s">
        <v>910</v>
      </c>
      <c r="L108" s="61" t="s">
        <v>911</v>
      </c>
      <c r="M108" s="61" t="s">
        <v>912</v>
      </c>
      <c r="N108" s="61" t="s">
        <v>913</v>
      </c>
      <c r="O108" s="61" t="s">
        <v>914</v>
      </c>
      <c r="P108" s="61" t="s">
        <v>915</v>
      </c>
      <c r="Q108" s="61" t="s">
        <v>1038</v>
      </c>
      <c r="R108" s="61" t="s">
        <v>1039</v>
      </c>
      <c r="S108" s="61" t="s">
        <v>1040</v>
      </c>
      <c r="T108" s="61" t="s">
        <v>916</v>
      </c>
      <c r="U108" s="61" t="s">
        <v>917</v>
      </c>
      <c r="V108" s="61" t="s">
        <v>918</v>
      </c>
      <c r="W108" s="61" t="s">
        <v>919</v>
      </c>
      <c r="X108" s="61" t="s">
        <v>920</v>
      </c>
      <c r="Y108" s="61" t="s">
        <v>921</v>
      </c>
      <c r="Z108" s="61" t="s">
        <v>922</v>
      </c>
      <c r="AA108" s="61" t="s">
        <v>923</v>
      </c>
      <c r="AB108" s="61" t="s">
        <v>924</v>
      </c>
      <c r="AC108" s="61" t="s">
        <v>925</v>
      </c>
      <c r="AD108" s="61" t="s">
        <v>926</v>
      </c>
      <c r="AE108" s="61" t="s">
        <v>927</v>
      </c>
      <c r="AF108" s="61" t="s">
        <v>928</v>
      </c>
      <c r="AG108" s="61" t="s">
        <v>929</v>
      </c>
      <c r="AH108" s="61" t="s">
        <v>930</v>
      </c>
      <c r="AI108" s="61" t="s">
        <v>931</v>
      </c>
      <c r="AJ108" s="61" t="s">
        <v>1041</v>
      </c>
      <c r="AK108" s="61" t="s">
        <v>1042</v>
      </c>
      <c r="AL108" s="61" t="s">
        <v>1043</v>
      </c>
      <c r="AM108" s="61" t="s">
        <v>932</v>
      </c>
      <c r="AN108" s="61" t="s">
        <v>933</v>
      </c>
      <c r="AO108" s="61" t="s">
        <v>934</v>
      </c>
      <c r="AP108" s="61" t="s">
        <v>935</v>
      </c>
      <c r="AQ108" s="61" t="s">
        <v>936</v>
      </c>
      <c r="AR108" s="61" t="s">
        <v>937</v>
      </c>
      <c r="AS108" s="61" t="s">
        <v>938</v>
      </c>
      <c r="AT108" s="61" t="s">
        <v>939</v>
      </c>
      <c r="AU108" s="61" t="s">
        <v>940</v>
      </c>
      <c r="AV108" s="61" t="s">
        <v>941</v>
      </c>
      <c r="AW108" s="61" t="s">
        <v>942</v>
      </c>
      <c r="AX108" s="61" t="s">
        <v>943</v>
      </c>
      <c r="AY108" s="61" t="s">
        <v>944</v>
      </c>
      <c r="AZ108" s="61" t="s">
        <v>945</v>
      </c>
      <c r="BA108" s="61" t="s">
        <v>946</v>
      </c>
      <c r="BB108" s="61" t="s">
        <v>947</v>
      </c>
      <c r="BC108" s="61" t="s">
        <v>1044</v>
      </c>
      <c r="BD108" s="61" t="s">
        <v>1045</v>
      </c>
      <c r="BE108" s="61" t="s">
        <v>1046</v>
      </c>
      <c r="BF108" s="61" t="s">
        <v>948</v>
      </c>
      <c r="BG108" s="61" t="s">
        <v>949</v>
      </c>
      <c r="BH108" s="61" t="s">
        <v>950</v>
      </c>
      <c r="BI108" s="61" t="s">
        <v>951</v>
      </c>
      <c r="BJ108" s="61" t="s">
        <v>952</v>
      </c>
      <c r="BK108" s="61" t="s">
        <v>953</v>
      </c>
      <c r="BL108" s="61" t="s">
        <v>954</v>
      </c>
      <c r="BM108" s="61" t="s">
        <v>955</v>
      </c>
      <c r="BN108" s="61" t="s">
        <v>956</v>
      </c>
    </row>
    <row r="109" spans="3:68" outlineLevel="1" x14ac:dyDescent="0.25">
      <c r="C109" s="88"/>
      <c r="E109" t="s">
        <v>777</v>
      </c>
      <c r="G109" t="s">
        <v>570</v>
      </c>
      <c r="J109" s="89">
        <f t="shared" ref="J109:AO109" si="121">RANK(J102, $J$102:$BN$102, 1)</f>
        <v>4</v>
      </c>
      <c r="K109" s="89">
        <f t="shared" si="121"/>
        <v>4</v>
      </c>
      <c r="L109" s="89">
        <f t="shared" si="121"/>
        <v>2</v>
      </c>
      <c r="M109" s="89">
        <f t="shared" si="121"/>
        <v>2</v>
      </c>
      <c r="N109" s="89">
        <f t="shared" si="121"/>
        <v>6</v>
      </c>
      <c r="O109" s="89">
        <f t="shared" si="121"/>
        <v>8</v>
      </c>
      <c r="P109" s="89">
        <f t="shared" si="121"/>
        <v>10</v>
      </c>
      <c r="Q109" s="89">
        <f t="shared" si="121"/>
        <v>6</v>
      </c>
      <c r="R109" s="89">
        <f t="shared" si="121"/>
        <v>8</v>
      </c>
      <c r="S109" s="89">
        <f t="shared" si="121"/>
        <v>10</v>
      </c>
      <c r="T109" s="89">
        <f t="shared" si="121"/>
        <v>1</v>
      </c>
      <c r="U109" s="89">
        <f t="shared" si="121"/>
        <v>55</v>
      </c>
      <c r="V109" s="89">
        <f t="shared" si="121"/>
        <v>52</v>
      </c>
      <c r="W109" s="89">
        <f t="shared" si="121"/>
        <v>55</v>
      </c>
      <c r="X109" s="89">
        <f t="shared" si="121"/>
        <v>55</v>
      </c>
      <c r="Y109" s="89">
        <f t="shared" si="121"/>
        <v>52</v>
      </c>
      <c r="Z109" s="89">
        <f t="shared" si="121"/>
        <v>52</v>
      </c>
      <c r="AA109" s="89">
        <f t="shared" si="121"/>
        <v>50</v>
      </c>
      <c r="AB109" s="89">
        <f t="shared" si="121"/>
        <v>50</v>
      </c>
      <c r="AC109" s="89">
        <f t="shared" si="121"/>
        <v>15</v>
      </c>
      <c r="AD109" s="89">
        <f t="shared" si="121"/>
        <v>15</v>
      </c>
      <c r="AE109" s="89">
        <f t="shared" si="121"/>
        <v>13</v>
      </c>
      <c r="AF109" s="89">
        <f t="shared" si="121"/>
        <v>13</v>
      </c>
      <c r="AG109" s="89">
        <f t="shared" si="121"/>
        <v>17</v>
      </c>
      <c r="AH109" s="89">
        <f t="shared" si="121"/>
        <v>20</v>
      </c>
      <c r="AI109" s="89">
        <f t="shared" si="121"/>
        <v>22</v>
      </c>
      <c r="AJ109" s="89">
        <f t="shared" si="121"/>
        <v>17</v>
      </c>
      <c r="AK109" s="89">
        <f t="shared" si="121"/>
        <v>20</v>
      </c>
      <c r="AL109" s="89">
        <f t="shared" si="121"/>
        <v>22</v>
      </c>
      <c r="AM109" s="89">
        <f t="shared" si="121"/>
        <v>12</v>
      </c>
      <c r="AN109" s="89">
        <f t="shared" si="121"/>
        <v>47</v>
      </c>
      <c r="AO109" s="89">
        <f t="shared" si="121"/>
        <v>44</v>
      </c>
      <c r="AP109" s="89">
        <f t="shared" ref="AP109:BN109" si="122">RANK(AP102, $J$102:$BN$102, 1)</f>
        <v>47</v>
      </c>
      <c r="AQ109" s="89">
        <f t="shared" si="122"/>
        <v>47</v>
      </c>
      <c r="AR109" s="89">
        <f t="shared" si="122"/>
        <v>44</v>
      </c>
      <c r="AS109" s="89">
        <f t="shared" si="122"/>
        <v>44</v>
      </c>
      <c r="AT109" s="89">
        <f t="shared" si="122"/>
        <v>42</v>
      </c>
      <c r="AU109" s="89">
        <f t="shared" si="122"/>
        <v>42</v>
      </c>
      <c r="AV109" s="89">
        <f t="shared" si="122"/>
        <v>26</v>
      </c>
      <c r="AW109" s="89">
        <f t="shared" si="122"/>
        <v>26</v>
      </c>
      <c r="AX109" s="89">
        <f t="shared" si="122"/>
        <v>24</v>
      </c>
      <c r="AY109" s="89">
        <f t="shared" si="122"/>
        <v>24</v>
      </c>
      <c r="AZ109" s="89">
        <f t="shared" si="122"/>
        <v>28</v>
      </c>
      <c r="BA109" s="89">
        <f t="shared" si="122"/>
        <v>30</v>
      </c>
      <c r="BB109" s="89">
        <f t="shared" si="122"/>
        <v>32</v>
      </c>
      <c r="BC109" s="89">
        <f t="shared" si="122"/>
        <v>28</v>
      </c>
      <c r="BD109" s="89">
        <f t="shared" si="122"/>
        <v>30</v>
      </c>
      <c r="BE109" s="89">
        <f t="shared" si="122"/>
        <v>32</v>
      </c>
      <c r="BF109" s="89">
        <f t="shared" si="122"/>
        <v>19</v>
      </c>
      <c r="BG109" s="89">
        <f t="shared" si="122"/>
        <v>39</v>
      </c>
      <c r="BH109" s="89">
        <f t="shared" si="122"/>
        <v>36</v>
      </c>
      <c r="BI109" s="89">
        <f t="shared" si="122"/>
        <v>39</v>
      </c>
      <c r="BJ109" s="89">
        <f t="shared" si="122"/>
        <v>39</v>
      </c>
      <c r="BK109" s="89">
        <f t="shared" si="122"/>
        <v>36</v>
      </c>
      <c r="BL109" s="89">
        <f t="shared" si="122"/>
        <v>36</v>
      </c>
      <c r="BM109" s="89">
        <f t="shared" si="122"/>
        <v>34</v>
      </c>
      <c r="BN109" s="89">
        <f t="shared" si="122"/>
        <v>34</v>
      </c>
    </row>
    <row r="110" spans="3:68" outlineLevel="1" x14ac:dyDescent="0.25">
      <c r="C110" s="88"/>
      <c r="E110" t="s">
        <v>778</v>
      </c>
      <c r="G110" t="s">
        <v>570</v>
      </c>
      <c r="J110" s="98">
        <f>J109 + (COUNT($J$109:J$109) / COUNT($J$109:$BN$109))</f>
        <v>4.0175438596491224</v>
      </c>
      <c r="K110" s="98">
        <f>K109 + (COUNT($J$109:K$109) / COUNT($J$109:$BN$109))</f>
        <v>4.0350877192982457</v>
      </c>
      <c r="L110" s="98">
        <f>L109 + (COUNT($J$109:L$109) / COUNT($J$109:$BN$109))</f>
        <v>2.0526315789473686</v>
      </c>
      <c r="M110" s="98">
        <f>M109 + (COUNT($J$109:M$109) / COUNT($J$109:$BN$109))</f>
        <v>2.0701754385964914</v>
      </c>
      <c r="N110" s="98">
        <f>N109 + (COUNT($J$109:N$109) / COUNT($J$109:$BN$109))</f>
        <v>6.0877192982456139</v>
      </c>
      <c r="O110" s="98">
        <f>O109 + (COUNT($J$109:O$109) / COUNT($J$109:$BN$109))</f>
        <v>8.1052631578947363</v>
      </c>
      <c r="P110" s="98">
        <f>P109 + (COUNT($J$109:P$109) / COUNT($J$109:$BN$109))</f>
        <v>10.12280701754386</v>
      </c>
      <c r="Q110" s="98">
        <f>Q109 + (COUNT($J$109:Q$109) / COUNT($J$109:$BN$109))</f>
        <v>6.1403508771929829</v>
      </c>
      <c r="R110" s="98">
        <f>R109 + (COUNT($J$109:R$109) / COUNT($J$109:$BN$109))</f>
        <v>8.1578947368421044</v>
      </c>
      <c r="S110" s="98">
        <f>S109 + (COUNT($J$109:S$109) / COUNT($J$109:$BN$109))</f>
        <v>10.175438596491228</v>
      </c>
      <c r="T110" s="98">
        <f>T109 + (COUNT($J$109:T$109) / COUNT($J$109:$BN$109))</f>
        <v>1.1929824561403508</v>
      </c>
      <c r="U110" s="98">
        <f>U109 + (COUNT($J$109:U$109) / COUNT($J$109:$BN$109))</f>
        <v>55.210526315789473</v>
      </c>
      <c r="V110" s="98">
        <f>V109 + (COUNT($J$109:V$109) / COUNT($J$109:$BN$109))</f>
        <v>52.228070175438596</v>
      </c>
      <c r="W110" s="98">
        <f>W109 + (COUNT($J$109:W$109) / COUNT($J$109:$BN$109))</f>
        <v>55.245614035087719</v>
      </c>
      <c r="X110" s="98">
        <f>X109 + (COUNT($J$109:X$109) / COUNT($J$109:$BN$109))</f>
        <v>55.263157894736842</v>
      </c>
      <c r="Y110" s="98">
        <f>Y109 + (COUNT($J$109:Y$109) / COUNT($J$109:$BN$109))</f>
        <v>52.280701754385966</v>
      </c>
      <c r="Z110" s="98">
        <f>Z109 + (COUNT($J$109:Z$109) / COUNT($J$109:$BN$109))</f>
        <v>52.298245614035089</v>
      </c>
      <c r="AA110" s="98">
        <f>AA109 + (COUNT($J$109:AA$109) / COUNT($J$109:$BN$109))</f>
        <v>50.315789473684212</v>
      </c>
      <c r="AB110" s="98">
        <f>AB109 + (COUNT($J$109:AB$109) / COUNT($J$109:$BN$109))</f>
        <v>50.333333333333336</v>
      </c>
      <c r="AC110" s="98">
        <f>AC109 + (COUNT($J$109:AC$109) / COUNT($J$109:$BN$109))</f>
        <v>15.350877192982455</v>
      </c>
      <c r="AD110" s="98">
        <f>AD109 + (COUNT($J$109:AD$109) / COUNT($J$109:$BN$109))</f>
        <v>15.368421052631579</v>
      </c>
      <c r="AE110" s="98">
        <f>AE109 + (COUNT($J$109:AE$109) / COUNT($J$109:$BN$109))</f>
        <v>13.385964912280702</v>
      </c>
      <c r="AF110" s="98">
        <f>AF109 + (COUNT($J$109:AF$109) / COUNT($J$109:$BN$109))</f>
        <v>13.403508771929825</v>
      </c>
      <c r="AG110" s="98">
        <f>AG109 + (COUNT($J$109:AG$109) / COUNT($J$109:$BN$109))</f>
        <v>17.421052631578949</v>
      </c>
      <c r="AH110" s="98">
        <f>AH109 + (COUNT($J$109:AH$109) / COUNT($J$109:$BN$109))</f>
        <v>20.438596491228068</v>
      </c>
      <c r="AI110" s="98">
        <f>AI109 + (COUNT($J$109:AI$109) / COUNT($J$109:$BN$109))</f>
        <v>22.456140350877192</v>
      </c>
      <c r="AJ110" s="98">
        <f>AJ109 + (COUNT($J$109:AJ$109) / COUNT($J$109:$BN$109))</f>
        <v>17.473684210526315</v>
      </c>
      <c r="AK110" s="98">
        <f>AK109 + (COUNT($J$109:AK$109) / COUNT($J$109:$BN$109))</f>
        <v>20.491228070175438</v>
      </c>
      <c r="AL110" s="98">
        <f>AL109 + (COUNT($J$109:AL$109) / COUNT($J$109:$BN$109))</f>
        <v>22.508771929824562</v>
      </c>
      <c r="AM110" s="98">
        <f>AM109 + (COUNT($J$109:AM$109) / COUNT($J$109:$BN$109))</f>
        <v>12.526315789473685</v>
      </c>
      <c r="AN110" s="98">
        <f>AN109 + (COUNT($J$109:AN$109) / COUNT($J$109:$BN$109))</f>
        <v>47.543859649122808</v>
      </c>
      <c r="AO110" s="98">
        <f>AO109 + (COUNT($J$109:AO$109) / COUNT($J$109:$BN$109))</f>
        <v>44.561403508771932</v>
      </c>
      <c r="AP110" s="98">
        <f>AP109 + (COUNT($J$109:AP$109) / COUNT($J$109:$BN$109))</f>
        <v>47.578947368421055</v>
      </c>
      <c r="AQ110" s="98">
        <f>AQ109 + (COUNT($J$109:AQ$109) / COUNT($J$109:$BN$109))</f>
        <v>47.596491228070178</v>
      </c>
      <c r="AR110" s="98">
        <f>AR109 + (COUNT($J$109:AR$109) / COUNT($J$109:$BN$109))</f>
        <v>44.614035087719301</v>
      </c>
      <c r="AS110" s="98">
        <f>AS109 + (COUNT($J$109:AS$109) / COUNT($J$109:$BN$109))</f>
        <v>44.631578947368418</v>
      </c>
      <c r="AT110" s="98">
        <f>AT109 + (COUNT($J$109:AT$109) / COUNT($J$109:$BN$109))</f>
        <v>42.649122807017541</v>
      </c>
      <c r="AU110" s="98">
        <f>AU109 + (COUNT($J$109:AU$109) / COUNT($J$109:$BN$109))</f>
        <v>42.666666666666664</v>
      </c>
      <c r="AV110" s="98">
        <f>AV109 + (COUNT($J$109:AV$109) / COUNT($J$109:$BN$109))</f>
        <v>26.684210526315791</v>
      </c>
      <c r="AW110" s="98">
        <f>AW109 + (COUNT($J$109:AW$109) / COUNT($J$109:$BN$109))</f>
        <v>26.701754385964911</v>
      </c>
      <c r="AX110" s="98">
        <f>AX109 + (COUNT($J$109:AX$109) / COUNT($J$109:$BN$109))</f>
        <v>24.719298245614034</v>
      </c>
      <c r="AY110" s="98">
        <f>AY109 + (COUNT($J$109:AY$109) / COUNT($J$109:$BN$109))</f>
        <v>24.736842105263158</v>
      </c>
      <c r="AZ110" s="98">
        <f>AZ109 + (COUNT($J$109:AZ$109) / COUNT($J$109:$BN$109))</f>
        <v>28.754385964912281</v>
      </c>
      <c r="BA110" s="98">
        <f>BA109 + (COUNT($J$109:BA$109) / COUNT($J$109:$BN$109))</f>
        <v>30.771929824561404</v>
      </c>
      <c r="BB110" s="98">
        <f>BB109 + (COUNT($J$109:BB$109) / COUNT($J$109:$BN$109))</f>
        <v>32.789473684210527</v>
      </c>
      <c r="BC110" s="98">
        <f>BC109 + (COUNT($J$109:BC$109) / COUNT($J$109:$BN$109))</f>
        <v>28.807017543859651</v>
      </c>
      <c r="BD110" s="98">
        <f>BD109 + (COUNT($J$109:BD$109) / COUNT($J$109:$BN$109))</f>
        <v>30.82456140350877</v>
      </c>
      <c r="BE110" s="98">
        <f>BE109 + (COUNT($J$109:BE$109) / COUNT($J$109:$BN$109))</f>
        <v>32.842105263157897</v>
      </c>
      <c r="BF110" s="98">
        <f>BF109 + (COUNT($J$109:BF$109) / COUNT($J$109:$BN$109))</f>
        <v>19.859649122807017</v>
      </c>
      <c r="BG110" s="98">
        <f>BG109 + (COUNT($J$109:BG$109) / COUNT($J$109:$BN$109))</f>
        <v>39.877192982456137</v>
      </c>
      <c r="BH110" s="98">
        <f>BH109 + (COUNT($J$109:BH$109) / COUNT($J$109:$BN$109))</f>
        <v>36.89473684210526</v>
      </c>
      <c r="BI110" s="98">
        <f>BI109 + (COUNT($J$109:BI$109) / COUNT($J$109:$BN$109))</f>
        <v>39.912280701754383</v>
      </c>
      <c r="BJ110" s="98">
        <f>BJ109 + (COUNT($J$109:BJ$109) / COUNT($J$109:$BN$109))</f>
        <v>39.929824561403507</v>
      </c>
      <c r="BK110" s="98">
        <f>BK109 + (COUNT($J$109:BK$109) / COUNT($J$109:$BN$109))</f>
        <v>36.94736842105263</v>
      </c>
      <c r="BL110" s="98">
        <f>BL109 + (COUNT($J$109:BL$109) / COUNT($J$109:$BN$109))</f>
        <v>36.964912280701753</v>
      </c>
      <c r="BM110" s="98">
        <f>BM109 + (COUNT($J$109:BM$109) / COUNT($J$109:$BN$109))</f>
        <v>34.982456140350877</v>
      </c>
      <c r="BN110" s="98">
        <f>BN109 + (COUNT($J$109:BN$109) / COUNT($J$109:$BN$109))</f>
        <v>35</v>
      </c>
    </row>
    <row r="111" spans="3:68" outlineLevel="1" x14ac:dyDescent="0.25">
      <c r="C111" s="88"/>
      <c r="E111" t="s">
        <v>779</v>
      </c>
      <c r="G111" t="s">
        <v>570</v>
      </c>
      <c r="J111" s="89">
        <f t="shared" ref="J111:AO111" si="123">RANK(J110, $J$110:$BN$110, 1)</f>
        <v>4</v>
      </c>
      <c r="K111" s="89">
        <f t="shared" si="123"/>
        <v>5</v>
      </c>
      <c r="L111" s="89">
        <f t="shared" si="123"/>
        <v>2</v>
      </c>
      <c r="M111" s="89">
        <f t="shared" si="123"/>
        <v>3</v>
      </c>
      <c r="N111" s="89">
        <f t="shared" si="123"/>
        <v>6</v>
      </c>
      <c r="O111" s="89">
        <f t="shared" si="123"/>
        <v>8</v>
      </c>
      <c r="P111" s="89">
        <f t="shared" si="123"/>
        <v>10</v>
      </c>
      <c r="Q111" s="89">
        <f t="shared" si="123"/>
        <v>7</v>
      </c>
      <c r="R111" s="89">
        <f t="shared" si="123"/>
        <v>9</v>
      </c>
      <c r="S111" s="89">
        <f t="shared" si="123"/>
        <v>11</v>
      </c>
      <c r="T111" s="89">
        <f t="shared" si="123"/>
        <v>1</v>
      </c>
      <c r="U111" s="89">
        <f t="shared" si="123"/>
        <v>55</v>
      </c>
      <c r="V111" s="89">
        <f t="shared" si="123"/>
        <v>52</v>
      </c>
      <c r="W111" s="89">
        <f t="shared" si="123"/>
        <v>56</v>
      </c>
      <c r="X111" s="89">
        <f t="shared" si="123"/>
        <v>57</v>
      </c>
      <c r="Y111" s="89">
        <f t="shared" si="123"/>
        <v>53</v>
      </c>
      <c r="Z111" s="89">
        <f t="shared" si="123"/>
        <v>54</v>
      </c>
      <c r="AA111" s="89">
        <f t="shared" si="123"/>
        <v>50</v>
      </c>
      <c r="AB111" s="89">
        <f t="shared" si="123"/>
        <v>51</v>
      </c>
      <c r="AC111" s="89">
        <f t="shared" si="123"/>
        <v>15</v>
      </c>
      <c r="AD111" s="89">
        <f t="shared" si="123"/>
        <v>16</v>
      </c>
      <c r="AE111" s="89">
        <f t="shared" si="123"/>
        <v>13</v>
      </c>
      <c r="AF111" s="89">
        <f t="shared" si="123"/>
        <v>14</v>
      </c>
      <c r="AG111" s="89">
        <f t="shared" si="123"/>
        <v>17</v>
      </c>
      <c r="AH111" s="89">
        <f t="shared" si="123"/>
        <v>20</v>
      </c>
      <c r="AI111" s="89">
        <f t="shared" si="123"/>
        <v>22</v>
      </c>
      <c r="AJ111" s="89">
        <f t="shared" si="123"/>
        <v>18</v>
      </c>
      <c r="AK111" s="89">
        <f t="shared" si="123"/>
        <v>21</v>
      </c>
      <c r="AL111" s="89">
        <f t="shared" si="123"/>
        <v>23</v>
      </c>
      <c r="AM111" s="89">
        <f t="shared" si="123"/>
        <v>12</v>
      </c>
      <c r="AN111" s="89">
        <f t="shared" si="123"/>
        <v>47</v>
      </c>
      <c r="AO111" s="89">
        <f t="shared" si="123"/>
        <v>44</v>
      </c>
      <c r="AP111" s="89">
        <f t="shared" ref="AP111:BN111" si="124">RANK(AP110, $J$110:$BN$110, 1)</f>
        <v>48</v>
      </c>
      <c r="AQ111" s="89">
        <f t="shared" si="124"/>
        <v>49</v>
      </c>
      <c r="AR111" s="89">
        <f t="shared" si="124"/>
        <v>45</v>
      </c>
      <c r="AS111" s="89">
        <f t="shared" si="124"/>
        <v>46</v>
      </c>
      <c r="AT111" s="89">
        <f t="shared" si="124"/>
        <v>42</v>
      </c>
      <c r="AU111" s="89">
        <f t="shared" si="124"/>
        <v>43</v>
      </c>
      <c r="AV111" s="89">
        <f t="shared" si="124"/>
        <v>26</v>
      </c>
      <c r="AW111" s="89">
        <f t="shared" si="124"/>
        <v>27</v>
      </c>
      <c r="AX111" s="89">
        <f t="shared" si="124"/>
        <v>24</v>
      </c>
      <c r="AY111" s="89">
        <f t="shared" si="124"/>
        <v>25</v>
      </c>
      <c r="AZ111" s="89">
        <f t="shared" si="124"/>
        <v>28</v>
      </c>
      <c r="BA111" s="89">
        <f t="shared" si="124"/>
        <v>30</v>
      </c>
      <c r="BB111" s="89">
        <f t="shared" si="124"/>
        <v>32</v>
      </c>
      <c r="BC111" s="89">
        <f t="shared" si="124"/>
        <v>29</v>
      </c>
      <c r="BD111" s="89">
        <f t="shared" si="124"/>
        <v>31</v>
      </c>
      <c r="BE111" s="89">
        <f t="shared" si="124"/>
        <v>33</v>
      </c>
      <c r="BF111" s="89">
        <f t="shared" si="124"/>
        <v>19</v>
      </c>
      <c r="BG111" s="89">
        <f t="shared" si="124"/>
        <v>39</v>
      </c>
      <c r="BH111" s="89">
        <f t="shared" si="124"/>
        <v>36</v>
      </c>
      <c r="BI111" s="89">
        <f t="shared" si="124"/>
        <v>40</v>
      </c>
      <c r="BJ111" s="89">
        <f t="shared" si="124"/>
        <v>41</v>
      </c>
      <c r="BK111" s="89">
        <f t="shared" si="124"/>
        <v>37</v>
      </c>
      <c r="BL111" s="89">
        <f t="shared" si="124"/>
        <v>38</v>
      </c>
      <c r="BM111" s="89">
        <f t="shared" si="124"/>
        <v>34</v>
      </c>
      <c r="BN111" s="89">
        <f t="shared" si="124"/>
        <v>35</v>
      </c>
    </row>
    <row r="112" spans="3:68" outlineLevel="1" x14ac:dyDescent="0.25">
      <c r="D112" s="29"/>
      <c r="E112" s="29"/>
      <c r="H112" s="210"/>
      <c r="I112" s="210"/>
    </row>
    <row r="113" spans="3:68" outlineLevel="1" x14ac:dyDescent="0.25">
      <c r="D113" s="32" t="s">
        <v>780</v>
      </c>
      <c r="E113"/>
      <c r="H113" s="210"/>
      <c r="I113" s="210"/>
    </row>
    <row r="114" spans="3:68" outlineLevel="1" x14ac:dyDescent="0.25">
      <c r="D114" s="32" t="s">
        <v>781</v>
      </c>
      <c r="E114"/>
      <c r="H114" s="210"/>
      <c r="I114" s="210"/>
    </row>
    <row r="115" spans="3:68" outlineLevel="1" x14ac:dyDescent="0.25">
      <c r="D115" s="32"/>
      <c r="E115"/>
      <c r="H115" s="210"/>
      <c r="I115" s="210"/>
    </row>
    <row r="116" spans="3:68" outlineLevel="1" x14ac:dyDescent="0.25">
      <c r="D116"/>
      <c r="E116" s="211" t="s">
        <v>782</v>
      </c>
      <c r="F116" s="211"/>
      <c r="G116" s="211"/>
      <c r="H116" s="211" t="s">
        <v>783</v>
      </c>
      <c r="I116" s="211"/>
      <c r="J116" s="214">
        <v>1</v>
      </c>
      <c r="K116" s="214">
        <f>J116 + 1</f>
        <v>2</v>
      </c>
      <c r="L116" s="214">
        <f t="shared" ref="L116:BN116" si="125">K116 + 1</f>
        <v>3</v>
      </c>
      <c r="M116" s="214">
        <f t="shared" si="125"/>
        <v>4</v>
      </c>
      <c r="N116" s="214">
        <f t="shared" si="125"/>
        <v>5</v>
      </c>
      <c r="O116" s="214">
        <f t="shared" si="125"/>
        <v>6</v>
      </c>
      <c r="P116" s="214">
        <f t="shared" si="125"/>
        <v>7</v>
      </c>
      <c r="Q116" s="214">
        <f t="shared" si="125"/>
        <v>8</v>
      </c>
      <c r="R116" s="214">
        <f t="shared" si="125"/>
        <v>9</v>
      </c>
      <c r="S116" s="214">
        <f t="shared" si="125"/>
        <v>10</v>
      </c>
      <c r="T116" s="214">
        <f t="shared" si="125"/>
        <v>11</v>
      </c>
      <c r="U116" s="214">
        <f t="shared" si="125"/>
        <v>12</v>
      </c>
      <c r="V116" s="214">
        <f t="shared" si="125"/>
        <v>13</v>
      </c>
      <c r="W116" s="214">
        <f t="shared" si="125"/>
        <v>14</v>
      </c>
      <c r="X116" s="214">
        <f t="shared" si="125"/>
        <v>15</v>
      </c>
      <c r="Y116" s="214">
        <f t="shared" si="125"/>
        <v>16</v>
      </c>
      <c r="Z116" s="214">
        <f t="shared" si="125"/>
        <v>17</v>
      </c>
      <c r="AA116" s="214">
        <f t="shared" si="125"/>
        <v>18</v>
      </c>
      <c r="AB116" s="214">
        <f t="shared" si="125"/>
        <v>19</v>
      </c>
      <c r="AC116" s="214">
        <f t="shared" si="125"/>
        <v>20</v>
      </c>
      <c r="AD116" s="214">
        <f t="shared" si="125"/>
        <v>21</v>
      </c>
      <c r="AE116" s="214">
        <f t="shared" si="125"/>
        <v>22</v>
      </c>
      <c r="AF116" s="214">
        <f t="shared" si="125"/>
        <v>23</v>
      </c>
      <c r="AG116" s="214">
        <f t="shared" si="125"/>
        <v>24</v>
      </c>
      <c r="AH116" s="214">
        <f t="shared" si="125"/>
        <v>25</v>
      </c>
      <c r="AI116" s="214">
        <f t="shared" si="125"/>
        <v>26</v>
      </c>
      <c r="AJ116" s="214">
        <f t="shared" si="125"/>
        <v>27</v>
      </c>
      <c r="AK116" s="214">
        <f t="shared" si="125"/>
        <v>28</v>
      </c>
      <c r="AL116" s="214">
        <f t="shared" si="125"/>
        <v>29</v>
      </c>
      <c r="AM116" s="214">
        <f t="shared" si="125"/>
        <v>30</v>
      </c>
      <c r="AN116" s="214">
        <f t="shared" si="125"/>
        <v>31</v>
      </c>
      <c r="AO116" s="214">
        <f t="shared" si="125"/>
        <v>32</v>
      </c>
      <c r="AP116" s="214">
        <f t="shared" si="125"/>
        <v>33</v>
      </c>
      <c r="AQ116" s="214">
        <f t="shared" si="125"/>
        <v>34</v>
      </c>
      <c r="AR116" s="214">
        <f t="shared" si="125"/>
        <v>35</v>
      </c>
      <c r="AS116" s="214">
        <f t="shared" si="125"/>
        <v>36</v>
      </c>
      <c r="AT116" s="214">
        <f t="shared" si="125"/>
        <v>37</v>
      </c>
      <c r="AU116" s="214">
        <f t="shared" si="125"/>
        <v>38</v>
      </c>
      <c r="AV116" s="214">
        <f t="shared" si="125"/>
        <v>39</v>
      </c>
      <c r="AW116" s="214">
        <f t="shared" si="125"/>
        <v>40</v>
      </c>
      <c r="AX116" s="214">
        <f t="shared" si="125"/>
        <v>41</v>
      </c>
      <c r="AY116" s="214">
        <f t="shared" si="125"/>
        <v>42</v>
      </c>
      <c r="AZ116" s="214">
        <f t="shared" si="125"/>
        <v>43</v>
      </c>
      <c r="BA116" s="214">
        <f t="shared" si="125"/>
        <v>44</v>
      </c>
      <c r="BB116" s="214">
        <f t="shared" si="125"/>
        <v>45</v>
      </c>
      <c r="BC116" s="214">
        <f t="shared" si="125"/>
        <v>46</v>
      </c>
      <c r="BD116" s="214">
        <f t="shared" si="125"/>
        <v>47</v>
      </c>
      <c r="BE116" s="214">
        <f t="shared" si="125"/>
        <v>48</v>
      </c>
      <c r="BF116" s="214">
        <f t="shared" si="125"/>
        <v>49</v>
      </c>
      <c r="BG116" s="214">
        <f t="shared" si="125"/>
        <v>50</v>
      </c>
      <c r="BH116" s="214">
        <f t="shared" si="125"/>
        <v>51</v>
      </c>
      <c r="BI116" s="214">
        <f t="shared" si="125"/>
        <v>52</v>
      </c>
      <c r="BJ116" s="214">
        <f t="shared" si="125"/>
        <v>53</v>
      </c>
      <c r="BK116" s="214">
        <f t="shared" si="125"/>
        <v>54</v>
      </c>
      <c r="BL116" s="214">
        <f t="shared" si="125"/>
        <v>55</v>
      </c>
      <c r="BM116" s="214">
        <f t="shared" si="125"/>
        <v>56</v>
      </c>
      <c r="BN116" s="214">
        <f t="shared" si="125"/>
        <v>57</v>
      </c>
    </row>
    <row r="117" spans="3:68" outlineLevel="1" x14ac:dyDescent="0.25">
      <c r="C117" s="88"/>
      <c r="E117" t="s">
        <v>784</v>
      </c>
      <c r="G117" t="s">
        <v>268</v>
      </c>
      <c r="H117" s="289"/>
      <c r="I117" s="271"/>
      <c r="J117" s="289">
        <f t="shared" ref="J117:AO117" si="126">INDEX($J$102:$BN$102, 1, MATCH(J116, $J$111:$BN$111, 0))</f>
        <v>-21.581103155032686</v>
      </c>
      <c r="K117" s="289">
        <f t="shared" si="126"/>
        <v>-10.462349584574492</v>
      </c>
      <c r="L117" s="289">
        <f t="shared" si="126"/>
        <v>-10.462349584574492</v>
      </c>
      <c r="M117" s="289">
        <f t="shared" si="126"/>
        <v>-9.0075798509575993</v>
      </c>
      <c r="N117" s="289">
        <f t="shared" si="126"/>
        <v>-9.0075798509575993</v>
      </c>
      <c r="O117" s="289">
        <f t="shared" si="126"/>
        <v>-7.0335580755778464</v>
      </c>
      <c r="P117" s="289">
        <f t="shared" si="126"/>
        <v>-7.0335580755778464</v>
      </c>
      <c r="Q117" s="289">
        <f t="shared" si="126"/>
        <v>-4.1620061131966093</v>
      </c>
      <c r="R117" s="289">
        <f t="shared" si="126"/>
        <v>-4.1620061131966093</v>
      </c>
      <c r="S117" s="289">
        <f t="shared" si="126"/>
        <v>-3.1534185792984371</v>
      </c>
      <c r="T117" s="289">
        <f t="shared" si="126"/>
        <v>-3.1534185792984371</v>
      </c>
      <c r="U117" s="289">
        <f t="shared" si="126"/>
        <v>-1.1952447724229316</v>
      </c>
      <c r="V117" s="289">
        <f t="shared" si="126"/>
        <v>-1.0256196578648074</v>
      </c>
      <c r="W117" s="289">
        <f t="shared" si="126"/>
        <v>-1.0256196578648074</v>
      </c>
      <c r="X117" s="289">
        <f t="shared" si="126"/>
        <v>-0.88300920268903393</v>
      </c>
      <c r="Y117" s="289">
        <f t="shared" si="126"/>
        <v>-0.88300920268903393</v>
      </c>
      <c r="Z117" s="289">
        <f t="shared" si="126"/>
        <v>-0.66594714340259142</v>
      </c>
      <c r="AA117" s="289">
        <f t="shared" si="126"/>
        <v>-0.66594714340259142</v>
      </c>
      <c r="AB117" s="289">
        <f t="shared" si="126"/>
        <v>-0.44929121314425297</v>
      </c>
      <c r="AC117" s="289">
        <f t="shared" si="126"/>
        <v>-0.35402490513798557</v>
      </c>
      <c r="AD117" s="289">
        <f t="shared" si="126"/>
        <v>-0.35402490513798557</v>
      </c>
      <c r="AE117" s="289">
        <f t="shared" si="126"/>
        <v>-0.25261633874531259</v>
      </c>
      <c r="AF117" s="289">
        <f t="shared" si="126"/>
        <v>-0.25261633874531259</v>
      </c>
      <c r="AG117" s="289">
        <f t="shared" si="126"/>
        <v>-2.6511376886313207E-2</v>
      </c>
      <c r="AH117" s="289">
        <f t="shared" si="126"/>
        <v>-2.6511376886313207E-2</v>
      </c>
      <c r="AI117" s="289">
        <f t="shared" si="126"/>
        <v>-2.2825020549340613E-2</v>
      </c>
      <c r="AJ117" s="289">
        <f t="shared" si="126"/>
        <v>-2.2825020549340613E-2</v>
      </c>
      <c r="AK117" s="289">
        <f t="shared" si="126"/>
        <v>-1.6180688220383998E-2</v>
      </c>
      <c r="AL117" s="289">
        <f t="shared" si="126"/>
        <v>-1.6180688220383998E-2</v>
      </c>
      <c r="AM117" s="289">
        <f t="shared" si="126"/>
        <v>-6.782565073577133E-3</v>
      </c>
      <c r="AN117" s="289">
        <f t="shared" si="126"/>
        <v>-6.782565073577133E-3</v>
      </c>
      <c r="AO117" s="289">
        <f t="shared" si="126"/>
        <v>-4.0498989835803315E-3</v>
      </c>
      <c r="AP117" s="289">
        <f t="shared" ref="AP117:BN117" si="127">INDEX($J$102:$BN$102, 1, MATCH(AP116, $J$111:$BN$111, 0))</f>
        <v>-4.0498989835803315E-3</v>
      </c>
      <c r="AQ117" s="289">
        <f t="shared" si="127"/>
        <v>6.0015573611233893E-3</v>
      </c>
      <c r="AR117" s="289">
        <f t="shared" si="127"/>
        <v>6.0015573611233893E-3</v>
      </c>
      <c r="AS117" s="289">
        <f t="shared" si="127"/>
        <v>1.3737723553938727E-2</v>
      </c>
      <c r="AT117" s="289">
        <f t="shared" si="127"/>
        <v>1.3737723553938727E-2</v>
      </c>
      <c r="AU117" s="289">
        <f t="shared" si="127"/>
        <v>1.3737723553938727E-2</v>
      </c>
      <c r="AV117" s="289">
        <f t="shared" si="127"/>
        <v>1.632228163067535E-2</v>
      </c>
      <c r="AW117" s="289">
        <f t="shared" si="127"/>
        <v>1.632228163067535E-2</v>
      </c>
      <c r="AX117" s="289">
        <f t="shared" si="127"/>
        <v>1.632228163067535E-2</v>
      </c>
      <c r="AY117" s="289">
        <f t="shared" si="127"/>
        <v>0.31633967493658671</v>
      </c>
      <c r="AZ117" s="289">
        <f t="shared" si="127"/>
        <v>0.31633967493658671</v>
      </c>
      <c r="BA117" s="289">
        <f t="shared" si="127"/>
        <v>0.54797375527131609</v>
      </c>
      <c r="BB117" s="289">
        <f t="shared" si="127"/>
        <v>0.54797375527131609</v>
      </c>
      <c r="BC117" s="289">
        <f t="shared" si="127"/>
        <v>0.54797375527131609</v>
      </c>
      <c r="BD117" s="289">
        <f t="shared" si="127"/>
        <v>0.63144411448010185</v>
      </c>
      <c r="BE117" s="289">
        <f t="shared" si="127"/>
        <v>0.63144411448010185</v>
      </c>
      <c r="BF117" s="289">
        <f t="shared" si="127"/>
        <v>0.63144411448010185</v>
      </c>
      <c r="BG117" s="289">
        <f t="shared" si="127"/>
        <v>3.732687631507082</v>
      </c>
      <c r="BH117" s="289">
        <f t="shared" si="127"/>
        <v>3.732687631507082</v>
      </c>
      <c r="BI117" s="289">
        <f t="shared" si="127"/>
        <v>5.6891199709087141</v>
      </c>
      <c r="BJ117" s="289">
        <f t="shared" si="127"/>
        <v>5.6891199709087141</v>
      </c>
      <c r="BK117" s="289">
        <f t="shared" si="127"/>
        <v>5.6891199709087141</v>
      </c>
      <c r="BL117" s="289">
        <f t="shared" si="127"/>
        <v>6.4413635387668471</v>
      </c>
      <c r="BM117" s="289">
        <f t="shared" si="127"/>
        <v>6.4413635387668471</v>
      </c>
      <c r="BN117" s="289">
        <f t="shared" si="127"/>
        <v>6.4413635387668471</v>
      </c>
      <c r="BO117" s="271"/>
      <c r="BP117" s="271"/>
    </row>
    <row r="118" spans="3:68" outlineLevel="1" x14ac:dyDescent="0.25">
      <c r="C118" s="88"/>
      <c r="E118" t="s">
        <v>785</v>
      </c>
      <c r="G118" t="s">
        <v>206</v>
      </c>
      <c r="H118" s="63"/>
      <c r="J118" s="98">
        <f t="shared" ref="J118:M118" si="128">I118 + INDEX($J$103:$BN$103, 1, MATCH(J116, $J$111:$BN$111, 0))</f>
        <v>13868.974697310709</v>
      </c>
      <c r="K118" s="98">
        <f t="shared" si="128"/>
        <v>202842.49700606344</v>
      </c>
      <c r="L118" s="98">
        <f t="shared" si="128"/>
        <v>207014.73806570037</v>
      </c>
      <c r="M118" s="98">
        <f t="shared" si="128"/>
        <v>951522.21402491594</v>
      </c>
      <c r="N118" s="98">
        <f t="shared" ref="N118" si="129">M118 + INDEX($J$103:$BN$103, 1, MATCH(N116, $J$111:$BN$111, 0))</f>
        <v>952849.78030957037</v>
      </c>
      <c r="O118" s="98">
        <f t="shared" ref="O118" si="130">N118 + INDEX($J$103:$BN$103, 1, MATCH(O116, $J$111:$BN$111, 0))</f>
        <v>1234924.9238971714</v>
      </c>
      <c r="P118" s="98">
        <f t="shared" ref="P118" si="131">O118 + INDEX($J$103:$BN$103, 1, MATCH(P116, $J$111:$BN$111, 0))</f>
        <v>1234924.9238971714</v>
      </c>
      <c r="Q118" s="98">
        <f t="shared" ref="Q118" si="132">P118 + INDEX($J$103:$BN$103, 1, MATCH(Q116, $J$111:$BN$111, 0))</f>
        <v>1257935.3680885935</v>
      </c>
      <c r="R118" s="98">
        <f t="shared" ref="R118" si="133">Q118 + INDEX($J$103:$BN$103, 1, MATCH(R116, $J$111:$BN$111, 0))</f>
        <v>1257935.3680885935</v>
      </c>
      <c r="S118" s="98">
        <f t="shared" ref="S118" si="134">R118 + INDEX($J$103:$BN$103, 1, MATCH(S116, $J$111:$BN$111, 0))</f>
        <v>1584247.3084687279</v>
      </c>
      <c r="T118" s="98">
        <f t="shared" ref="T118" si="135">S118 + INDEX($J$103:$BN$103, 1, MATCH(T116, $J$111:$BN$111, 0))</f>
        <v>1584247.3084687279</v>
      </c>
      <c r="U118" s="98">
        <f t="shared" ref="U118" si="136">T118 + INDEX($J$103:$BN$103, 1, MATCH(U116, $J$111:$BN$111, 0))</f>
        <v>1637129.7084416279</v>
      </c>
      <c r="V118" s="98">
        <f t="shared" ref="V118" si="137">U118 + INDEX($J$103:$BN$103, 1, MATCH(V116, $J$111:$BN$111, 0))</f>
        <v>2660753.8960582628</v>
      </c>
      <c r="W118" s="98">
        <f t="shared" ref="W118" si="138">V118 + INDEX($J$103:$BN$103, 1, MATCH(W116, $J$111:$BN$111, 0))</f>
        <v>2686073.3115402642</v>
      </c>
      <c r="X118" s="98">
        <f t="shared" ref="X118" si="139">W118 + INDEX($J$103:$BN$103, 1, MATCH(X116, $J$111:$BN$111, 0))</f>
        <v>5331171.1509627942</v>
      </c>
      <c r="Y118" s="98">
        <f t="shared" ref="Y118" si="140">X118 + INDEX($J$103:$BN$103, 1, MATCH(Y116, $J$111:$BN$111, 0))</f>
        <v>5355206.2227255832</v>
      </c>
      <c r="Z118" s="98">
        <f t="shared" ref="Z118" si="141">Y118 + INDEX($J$103:$BN$103, 1, MATCH(Z116, $J$111:$BN$111, 0))</f>
        <v>6705332.5541292178</v>
      </c>
      <c r="AA118" s="98">
        <f t="shared" ref="AA118" si="142">Z118 + INDEX($J$103:$BN$103, 1, MATCH(AA116, $J$111:$BN$111, 0))</f>
        <v>6705332.5541292178</v>
      </c>
      <c r="AB118" s="98">
        <f t="shared" ref="AB118" si="143">AA118 + INDEX($J$103:$BN$103, 1, MATCH(AB116, $J$111:$BN$111, 0))</f>
        <v>6894756.5311599271</v>
      </c>
      <c r="AC118" s="98">
        <f t="shared" ref="AC118" si="144">AB118 + INDEX($J$103:$BN$103, 1, MATCH(AC116, $J$111:$BN$111, 0))</f>
        <v>7002257.8752404237</v>
      </c>
      <c r="AD118" s="98">
        <f t="shared" ref="AD118" si="145">AC118 + INDEX($J$103:$BN$103, 1, MATCH(AD116, $J$111:$BN$111, 0))</f>
        <v>7002257.8752404237</v>
      </c>
      <c r="AE118" s="98">
        <f t="shared" ref="AE118" si="146">AD118 + INDEX($J$103:$BN$103, 1, MATCH(AE116, $J$111:$BN$111, 0))</f>
        <v>8516592.0753458031</v>
      </c>
      <c r="AF118" s="98">
        <f t="shared" ref="AF118" si="147">AE118 + INDEX($J$103:$BN$103, 1, MATCH(AF116, $J$111:$BN$111, 0))</f>
        <v>8516592.0753458031</v>
      </c>
      <c r="AG118" s="98">
        <f t="shared" ref="AG118" si="148">AF118 + INDEX($J$103:$BN$103, 1, MATCH(AG116, $J$111:$BN$111, 0))</f>
        <v>9505306.6714386251</v>
      </c>
      <c r="AH118" s="98">
        <f t="shared" ref="AH118" si="149">AG118 + INDEX($J$103:$BN$103, 1, MATCH(AH116, $J$111:$BN$111, 0))</f>
        <v>9557867.8294727448</v>
      </c>
      <c r="AI118" s="98">
        <f t="shared" ref="AI118" si="150">AH118 + INDEX($J$103:$BN$103, 1, MATCH(AI116, $J$111:$BN$111, 0))</f>
        <v>11993861.830521032</v>
      </c>
      <c r="AJ118" s="98">
        <f t="shared" ref="AJ118" si="151">AI118 + INDEX($J$103:$BN$103, 1, MATCH(AJ116, $J$111:$BN$111, 0))</f>
        <v>12239376.972843783</v>
      </c>
      <c r="AK118" s="98">
        <f t="shared" ref="AK118" si="152">AJ118 + INDEX($J$103:$BN$103, 1, MATCH(AK116, $J$111:$BN$111, 0))</f>
        <v>13418408.408414816</v>
      </c>
      <c r="AL118" s="98">
        <f t="shared" ref="AL118" si="153">AK118 + INDEX($J$103:$BN$103, 1, MATCH(AL116, $J$111:$BN$111, 0))</f>
        <v>13418408.408414816</v>
      </c>
      <c r="AM118" s="98">
        <f t="shared" ref="AM118" si="154">AL118 + INDEX($J$103:$BN$103, 1, MATCH(AM116, $J$111:$BN$111, 0))</f>
        <v>13524724.380246453</v>
      </c>
      <c r="AN118" s="98">
        <f t="shared" ref="AN118" si="155">AM118 + INDEX($J$103:$BN$103, 1, MATCH(AN116, $J$111:$BN$111, 0))</f>
        <v>13524724.380246453</v>
      </c>
      <c r="AO118" s="98">
        <f t="shared" ref="AO118" si="156">AN118 + INDEX($J$103:$BN$103, 1, MATCH(AO116, $J$111:$BN$111, 0))</f>
        <v>15146035.055424694</v>
      </c>
      <c r="AP118" s="98">
        <f t="shared" ref="AP118" si="157">AO118 + INDEX($J$103:$BN$103, 1, MATCH(AP116, $J$111:$BN$111, 0))</f>
        <v>15146035.055424694</v>
      </c>
      <c r="AQ118" s="98">
        <f t="shared" ref="AQ118" si="158">AP118 + INDEX($J$103:$BN$103, 1, MATCH(AQ116, $J$111:$BN$111, 0))</f>
        <v>15146035.055424694</v>
      </c>
      <c r="AR118" s="98">
        <f t="shared" ref="AR118" si="159">AQ118 + INDEX($J$103:$BN$103, 1, MATCH(AR116, $J$111:$BN$111, 0))</f>
        <v>15146035.055424694</v>
      </c>
      <c r="AS118" s="98">
        <f t="shared" ref="AS118" si="160">AR118 + INDEX($J$103:$BN$103, 1, MATCH(AS116, $J$111:$BN$111, 0))</f>
        <v>15146035.055424694</v>
      </c>
      <c r="AT118" s="98">
        <f t="shared" ref="AT118" si="161">AS118 + INDEX($J$103:$BN$103, 1, MATCH(AT116, $J$111:$BN$111, 0))</f>
        <v>15146035.055424694</v>
      </c>
      <c r="AU118" s="98">
        <f t="shared" ref="AU118" si="162">AT118 + INDEX($J$103:$BN$103, 1, MATCH(AU116, $J$111:$BN$111, 0))</f>
        <v>15146035.055424694</v>
      </c>
      <c r="AV118" s="98">
        <f t="shared" ref="AV118" si="163">AU118 + INDEX($J$103:$BN$103, 1, MATCH(AV116, $J$111:$BN$111, 0))</f>
        <v>15146035.055424694</v>
      </c>
      <c r="AW118" s="98">
        <f t="shared" ref="AW118" si="164">AV118 + INDEX($J$103:$BN$103, 1, MATCH(AW116, $J$111:$BN$111, 0))</f>
        <v>15146035.055424694</v>
      </c>
      <c r="AX118" s="98">
        <f t="shared" ref="AX118" si="165">AW118 + INDEX($J$103:$BN$103, 1, MATCH(AX116, $J$111:$BN$111, 0))</f>
        <v>15146035.055424694</v>
      </c>
      <c r="AY118" s="98">
        <f t="shared" ref="AY118" si="166">AX118 + INDEX($J$103:$BN$103, 1, MATCH(AY116, $J$111:$BN$111, 0))</f>
        <v>15146035.055424694</v>
      </c>
      <c r="AZ118" s="98">
        <f t="shared" ref="AZ118" si="167">AY118 + INDEX($J$103:$BN$103, 1, MATCH(AZ116, $J$111:$BN$111, 0))</f>
        <v>15146035.055424694</v>
      </c>
      <c r="BA118" s="98">
        <f t="shared" ref="BA118" si="168">AZ118 + INDEX($J$103:$BN$103, 1, MATCH(BA116, $J$111:$BN$111, 0))</f>
        <v>15146035.055424694</v>
      </c>
      <c r="BB118" s="98">
        <f t="shared" ref="BB118" si="169">BA118 + INDEX($J$103:$BN$103, 1, MATCH(BB116, $J$111:$BN$111, 0))</f>
        <v>15146035.055424694</v>
      </c>
      <c r="BC118" s="98">
        <f t="shared" ref="BC118" si="170">BB118 + INDEX($J$103:$BN$103, 1, MATCH(BC116, $J$111:$BN$111, 0))</f>
        <v>15146035.055424694</v>
      </c>
      <c r="BD118" s="98">
        <f t="shared" ref="BD118" si="171">BC118 + INDEX($J$103:$BN$103, 1, MATCH(BD116, $J$111:$BN$111, 0))</f>
        <v>15146035.055424694</v>
      </c>
      <c r="BE118" s="98">
        <f t="shared" ref="BE118" si="172">BD118 + INDEX($J$103:$BN$103, 1, MATCH(BE116, $J$111:$BN$111, 0))</f>
        <v>15146035.055424694</v>
      </c>
      <c r="BF118" s="98">
        <f t="shared" ref="BF118" si="173">BE118 + INDEX($J$103:$BN$103, 1, MATCH(BF116, $J$111:$BN$111, 0))</f>
        <v>15146035.055424694</v>
      </c>
      <c r="BG118" s="98">
        <f t="shared" ref="BG118" si="174">BF118 + INDEX($J$103:$BN$103, 1, MATCH(BG116, $J$111:$BN$111, 0))</f>
        <v>15146035.055424694</v>
      </c>
      <c r="BH118" s="98">
        <f t="shared" ref="BH118" si="175">BG118 + INDEX($J$103:$BN$103, 1, MATCH(BH116, $J$111:$BN$111, 0))</f>
        <v>15146035.055424694</v>
      </c>
      <c r="BI118" s="98">
        <f t="shared" ref="BI118" si="176">BH118 + INDEX($J$103:$BN$103, 1, MATCH(BI116, $J$111:$BN$111, 0))</f>
        <v>15146035.055424694</v>
      </c>
      <c r="BJ118" s="98">
        <f t="shared" ref="BJ118" si="177">BI118 + INDEX($J$103:$BN$103, 1, MATCH(BJ116, $J$111:$BN$111, 0))</f>
        <v>15146035.055424694</v>
      </c>
      <c r="BK118" s="98">
        <f t="shared" ref="BK118" si="178">BJ118 + INDEX($J$103:$BN$103, 1, MATCH(BK116, $J$111:$BN$111, 0))</f>
        <v>15146035.055424694</v>
      </c>
      <c r="BL118" s="98">
        <f t="shared" ref="BL118" si="179">BK118 + INDEX($J$103:$BN$103, 1, MATCH(BL116, $J$111:$BN$111, 0))</f>
        <v>15146035.055424694</v>
      </c>
      <c r="BM118" s="98">
        <f t="shared" ref="BM118" si="180">BL118 + INDEX($J$103:$BN$103, 1, MATCH(BM116, $J$111:$BN$111, 0))</f>
        <v>15146035.055424694</v>
      </c>
      <c r="BN118" s="98">
        <f t="shared" ref="BN118" si="181">BM118 + INDEX($J$103:$BN$103, 1, MATCH(BN116, $J$111:$BN$111, 0))</f>
        <v>15146035.055424694</v>
      </c>
    </row>
    <row r="119" spans="3:68" outlineLevel="1" x14ac:dyDescent="0.25">
      <c r="C119" s="88"/>
      <c r="E119" t="s">
        <v>786</v>
      </c>
      <c r="G119" t="s">
        <v>276</v>
      </c>
      <c r="H119" s="63"/>
      <c r="J119" s="98">
        <f>SUM($J$54:$AB$57,$U$51:$AB$53, $Q$51:$S$53)</f>
        <v>70347522.742783532</v>
      </c>
      <c r="K119" s="98">
        <f t="shared" ref="K119:BN119" si="182">SUM($J$54:$AB$57,$U$51:$AB$53, $Q$51:$S$53)</f>
        <v>70347522.742783532</v>
      </c>
      <c r="L119" s="98">
        <f t="shared" si="182"/>
        <v>70347522.742783532</v>
      </c>
      <c r="M119" s="98">
        <f t="shared" si="182"/>
        <v>70347522.742783532</v>
      </c>
      <c r="N119" s="98">
        <f t="shared" si="182"/>
        <v>70347522.742783532</v>
      </c>
      <c r="O119" s="98">
        <f t="shared" si="182"/>
        <v>70347522.742783532</v>
      </c>
      <c r="P119" s="98">
        <f t="shared" si="182"/>
        <v>70347522.742783532</v>
      </c>
      <c r="Q119" s="98">
        <f t="shared" si="182"/>
        <v>70347522.742783532</v>
      </c>
      <c r="R119" s="98">
        <f t="shared" si="182"/>
        <v>70347522.742783532</v>
      </c>
      <c r="S119" s="98">
        <f t="shared" si="182"/>
        <v>70347522.742783532</v>
      </c>
      <c r="T119" s="98">
        <f t="shared" si="182"/>
        <v>70347522.742783532</v>
      </c>
      <c r="U119" s="98">
        <f t="shared" si="182"/>
        <v>70347522.742783532</v>
      </c>
      <c r="V119" s="98">
        <f t="shared" si="182"/>
        <v>70347522.742783532</v>
      </c>
      <c r="W119" s="98">
        <f t="shared" si="182"/>
        <v>70347522.742783532</v>
      </c>
      <c r="X119" s="98">
        <f t="shared" si="182"/>
        <v>70347522.742783532</v>
      </c>
      <c r="Y119" s="98">
        <f t="shared" si="182"/>
        <v>70347522.742783532</v>
      </c>
      <c r="Z119" s="98">
        <f t="shared" si="182"/>
        <v>70347522.742783532</v>
      </c>
      <c r="AA119" s="98">
        <f t="shared" si="182"/>
        <v>70347522.742783532</v>
      </c>
      <c r="AB119" s="98">
        <f t="shared" si="182"/>
        <v>70347522.742783532</v>
      </c>
      <c r="AC119" s="98">
        <f t="shared" si="182"/>
        <v>70347522.742783532</v>
      </c>
      <c r="AD119" s="98">
        <f t="shared" si="182"/>
        <v>70347522.742783532</v>
      </c>
      <c r="AE119" s="98">
        <f t="shared" si="182"/>
        <v>70347522.742783532</v>
      </c>
      <c r="AF119" s="98">
        <f t="shared" si="182"/>
        <v>70347522.742783532</v>
      </c>
      <c r="AG119" s="98">
        <f t="shared" si="182"/>
        <v>70347522.742783532</v>
      </c>
      <c r="AH119" s="98">
        <f t="shared" si="182"/>
        <v>70347522.742783532</v>
      </c>
      <c r="AI119" s="98">
        <f t="shared" si="182"/>
        <v>70347522.742783532</v>
      </c>
      <c r="AJ119" s="98">
        <f t="shared" si="182"/>
        <v>70347522.742783532</v>
      </c>
      <c r="AK119" s="98">
        <f t="shared" si="182"/>
        <v>70347522.742783532</v>
      </c>
      <c r="AL119" s="98">
        <f t="shared" si="182"/>
        <v>70347522.742783532</v>
      </c>
      <c r="AM119" s="98">
        <f t="shared" si="182"/>
        <v>70347522.742783532</v>
      </c>
      <c r="AN119" s="98">
        <f t="shared" si="182"/>
        <v>70347522.742783532</v>
      </c>
      <c r="AO119" s="98">
        <f t="shared" si="182"/>
        <v>70347522.742783532</v>
      </c>
      <c r="AP119" s="98">
        <f t="shared" si="182"/>
        <v>70347522.742783532</v>
      </c>
      <c r="AQ119" s="98">
        <f t="shared" si="182"/>
        <v>70347522.742783532</v>
      </c>
      <c r="AR119" s="98">
        <f t="shared" si="182"/>
        <v>70347522.742783532</v>
      </c>
      <c r="AS119" s="98">
        <f t="shared" si="182"/>
        <v>70347522.742783532</v>
      </c>
      <c r="AT119" s="98">
        <f t="shared" si="182"/>
        <v>70347522.742783532</v>
      </c>
      <c r="AU119" s="98">
        <f t="shared" si="182"/>
        <v>70347522.742783532</v>
      </c>
      <c r="AV119" s="98">
        <f t="shared" si="182"/>
        <v>70347522.742783532</v>
      </c>
      <c r="AW119" s="98">
        <f t="shared" si="182"/>
        <v>70347522.742783532</v>
      </c>
      <c r="AX119" s="98">
        <f t="shared" si="182"/>
        <v>70347522.742783532</v>
      </c>
      <c r="AY119" s="98">
        <f t="shared" si="182"/>
        <v>70347522.742783532</v>
      </c>
      <c r="AZ119" s="98">
        <f t="shared" si="182"/>
        <v>70347522.742783532</v>
      </c>
      <c r="BA119" s="98">
        <f t="shared" si="182"/>
        <v>70347522.742783532</v>
      </c>
      <c r="BB119" s="98">
        <f t="shared" si="182"/>
        <v>70347522.742783532</v>
      </c>
      <c r="BC119" s="98">
        <f t="shared" si="182"/>
        <v>70347522.742783532</v>
      </c>
      <c r="BD119" s="98">
        <f t="shared" si="182"/>
        <v>70347522.742783532</v>
      </c>
      <c r="BE119" s="98">
        <f t="shared" si="182"/>
        <v>70347522.742783532</v>
      </c>
      <c r="BF119" s="98">
        <f t="shared" si="182"/>
        <v>70347522.742783532</v>
      </c>
      <c r="BG119" s="98">
        <f t="shared" si="182"/>
        <v>70347522.742783532</v>
      </c>
      <c r="BH119" s="98">
        <f t="shared" si="182"/>
        <v>70347522.742783532</v>
      </c>
      <c r="BI119" s="98">
        <f t="shared" si="182"/>
        <v>70347522.742783532</v>
      </c>
      <c r="BJ119" s="98">
        <f t="shared" si="182"/>
        <v>70347522.742783532</v>
      </c>
      <c r="BK119" s="98">
        <f t="shared" si="182"/>
        <v>70347522.742783532</v>
      </c>
      <c r="BL119" s="98">
        <f t="shared" si="182"/>
        <v>70347522.742783532</v>
      </c>
      <c r="BM119" s="98">
        <f t="shared" si="182"/>
        <v>70347522.742783532</v>
      </c>
      <c r="BN119" s="98">
        <f t="shared" si="182"/>
        <v>70347522.742783532</v>
      </c>
    </row>
    <row r="120" spans="3:68" outlineLevel="1" x14ac:dyDescent="0.25">
      <c r="C120" s="88"/>
      <c r="E120" t="s">
        <v>787</v>
      </c>
      <c r="G120" t="s">
        <v>276</v>
      </c>
      <c r="H120" s="63"/>
      <c r="J120" s="79"/>
      <c r="K120" s="98">
        <f t="shared" ref="K120" si="183">J120 + J118 * (K117 - J117) * ten</f>
        <v>1542057.1193431781</v>
      </c>
      <c r="L120" s="98">
        <f t="shared" ref="L120" si="184">K120 + K118 * (L117 - K117) * ten</f>
        <v>1542057.1193431781</v>
      </c>
      <c r="M120" s="98">
        <f t="shared" ref="M120" si="185">L120 + L118 * (M117 - L117) * ten</f>
        <v>4553644.8728492754</v>
      </c>
      <c r="N120" s="98">
        <f t="shared" ref="N120" si="186">M120 + M118 * (N117 - M117) * ten</f>
        <v>4553644.8728492754</v>
      </c>
      <c r="O120" s="98">
        <f t="shared" ref="O120" si="187">N120 + N118 * (O117 - N117) * ten</f>
        <v>23363107.022818331</v>
      </c>
      <c r="P120" s="98">
        <f t="shared" ref="P120" si="188">O120 + O118 * (P117 - O117) * ten</f>
        <v>23363107.022818331</v>
      </c>
      <c r="Q120" s="98">
        <f t="shared" ref="Q120" si="189">P120 + P118 * (Q117 - P117) * ten</f>
        <v>58824617.908922553</v>
      </c>
      <c r="R120" s="98">
        <f t="shared" ref="R120" si="190">Q120 + Q118 * (R117 - Q117) * ten</f>
        <v>58824617.908922553</v>
      </c>
      <c r="S120" s="98">
        <f t="shared" ref="S120" si="191">R120 + R118 * (S117 - R117) * ten</f>
        <v>71511997.21596019</v>
      </c>
      <c r="T120" s="98">
        <f t="shared" ref="T120" si="192">S120 + S118 * (T117 - S117) * ten</f>
        <v>71511997.21596019</v>
      </c>
      <c r="U120" s="98">
        <f t="shared" ref="U120" si="193">T120 + T118 * (U117 - T117) * ten</f>
        <v>102534313.046525</v>
      </c>
      <c r="V120" s="98">
        <f t="shared" ref="V120" si="194">U120 + U118 * (V117 - U117) * ten</f>
        <v>105311296.18993419</v>
      </c>
      <c r="W120" s="98">
        <f t="shared" ref="W120" si="195">V120 + V118 * (W117 - V117) * ten</f>
        <v>105311296.18993419</v>
      </c>
      <c r="X120" s="98">
        <f t="shared" ref="X120" si="196">W120 + W118 * (X117 - W117) * ten</f>
        <v>109141917.56587674</v>
      </c>
      <c r="Y120" s="98">
        <f t="shared" ref="Y120" si="197">X120 + X118 * (Y117 - X117) * ten</f>
        <v>109141917.56587674</v>
      </c>
      <c r="Z120" s="98">
        <f t="shared" ref="Z120" si="198">Y120 + Y118 * (Z117 - Y117) * ten</f>
        <v>120766038.4719606</v>
      </c>
      <c r="AA120" s="98">
        <f t="shared" ref="AA120" si="199">Z120 + Z118 * (AA117 - Z117) * ten</f>
        <v>120766038.4719606</v>
      </c>
      <c r="AB120" s="98">
        <f t="shared" ref="AB120" si="200">AA120 + AA118 * (AB117 - AA117) * ten</f>
        <v>135293539.09402448</v>
      </c>
      <c r="AC120" s="98">
        <f t="shared" ref="AC120" si="201">AB120 + AB118 * (AC117 - AB117) * ten</f>
        <v>141861919.08728153</v>
      </c>
      <c r="AD120" s="98">
        <f t="shared" ref="AD120" si="202">AC120 + AC118 * (AD117 - AC117) * ten</f>
        <v>141861919.08728153</v>
      </c>
      <c r="AE120" s="98">
        <f t="shared" ref="AE120" si="203">AD120 + AD118 * (AE117 - AD117) * ten</f>
        <v>148962808.41368088</v>
      </c>
      <c r="AF120" s="98">
        <f t="shared" ref="AF120" si="204">AE120 + AE118 * (AF117 - AE117) * ten</f>
        <v>148962808.41368088</v>
      </c>
      <c r="AG120" s="98">
        <f t="shared" ref="AG120" si="205">AF120 + AF118 * (AG117 - AF117) * ten</f>
        <v>168219245.67732808</v>
      </c>
      <c r="AH120" s="98">
        <f t="shared" ref="AH120" si="206">AG120 + AG118 * (AH117 - AG117) * ten</f>
        <v>168219245.67732808</v>
      </c>
      <c r="AI120" s="98">
        <f t="shared" ref="AI120" si="207">AH120 + AH118 * (AI117 - AH117) * ten</f>
        <v>168571582.74373931</v>
      </c>
      <c r="AJ120" s="98">
        <f t="shared" ref="AJ120" si="208">AI120 + AI118 * (AJ117 - AI117) * ten</f>
        <v>168571582.74373931</v>
      </c>
      <c r="AK120" s="98">
        <f t="shared" ref="AK120" si="209">AJ120 + AJ118 * (AK117 - AJ117) * ten</f>
        <v>169384807.62480885</v>
      </c>
      <c r="AL120" s="98">
        <f t="shared" ref="AL120" si="210">AK120 + AK118 * (AL117 - AK117) * ten</f>
        <v>169384807.62480885</v>
      </c>
      <c r="AM120" s="98">
        <f t="shared" ref="AM120" si="211">AL120 + AL118 * (AM117 - AL117) * ten</f>
        <v>170645886.17137316</v>
      </c>
      <c r="AN120" s="98">
        <f t="shared" ref="AN120" si="212">AM120 + AM118 * (AN117 - AM117) * ten</f>
        <v>170645886.17137316</v>
      </c>
      <c r="AO120" s="98">
        <f t="shared" ref="AO120" si="213">AN120 + AN118 * (AO117 - AN117) * ten</f>
        <v>171015471.72827768</v>
      </c>
      <c r="AP120" s="98">
        <f t="shared" ref="AP120" si="214">AO120 + AO118 * (AP117 - AO117) * ten</f>
        <v>171015471.72827768</v>
      </c>
      <c r="AQ120" s="98">
        <f t="shared" ref="AQ120" si="215">AP120 + AP118 * (AQ117 - AP117) * ten</f>
        <v>172537868.82982722</v>
      </c>
      <c r="AR120" s="98">
        <f t="shared" ref="AR120" si="216">AQ120 + AQ118 * (AR117 - AQ117) * ten</f>
        <v>172537868.82982722</v>
      </c>
      <c r="AS120" s="98">
        <f t="shared" ref="AS120" si="217">AR120 + AR118 * (AS117 - AR117) * ten</f>
        <v>173709591.27333695</v>
      </c>
      <c r="AT120" s="98">
        <f t="shared" ref="AT120" si="218">AS120 + AS118 * (AT117 - AS117) * ten</f>
        <v>173709591.27333695</v>
      </c>
      <c r="AU120" s="98">
        <f t="shared" ref="AU120" si="219">AT120 + AT118 * (AU117 - AT117) * ten</f>
        <v>173709591.27333695</v>
      </c>
      <c r="AV120" s="98">
        <f t="shared" ref="AV120" si="220">AU120 + AU118 * (AV117 - AU117) * ten</f>
        <v>174101049.34566727</v>
      </c>
      <c r="AW120" s="98">
        <f t="shared" ref="AW120" si="221">AV120 + AV118 * (AW117 - AV117) * ten</f>
        <v>174101049.34566727</v>
      </c>
      <c r="AX120" s="98">
        <f t="shared" ref="AX120" si="222">AW120 + AW118 * (AX117 - AW117) * ten</f>
        <v>174101049.34566727</v>
      </c>
      <c r="AY120" s="98">
        <f t="shared" ref="AY120" si="223">AX120 + AX118 * (AY117 - AX117) * ten</f>
        <v>219541788.90815198</v>
      </c>
      <c r="AZ120" s="98">
        <f t="shared" ref="AZ120" si="224">AY120 + AY118 * (AZ117 - AY117) * ten</f>
        <v>219541788.90815198</v>
      </c>
      <c r="BA120" s="98">
        <f t="shared" ref="BA120" si="225">AZ120 + AZ118 * (BA117 - AZ117) * ten</f>
        <v>254625167.9159607</v>
      </c>
      <c r="BB120" s="98">
        <f t="shared" ref="BB120" si="226">BA120 + BA118 * (BB117 - BA117) * ten</f>
        <v>254625167.9159607</v>
      </c>
      <c r="BC120" s="98">
        <f t="shared" ref="BC120" si="227">BB120 + BB118 * (BC117 - BB117) * ten</f>
        <v>254625167.9159607</v>
      </c>
      <c r="BD120" s="98">
        <f t="shared" ref="BD120" si="228">BC120 + BC118 * (BD117 - BC117) * ten</f>
        <v>267267617.78261229</v>
      </c>
      <c r="BE120" s="98">
        <f t="shared" ref="BE120" si="229">BD120 + BD118 * (BE117 - BD117) * ten</f>
        <v>267267617.78261229</v>
      </c>
      <c r="BF120" s="98">
        <f t="shared" ref="BF120" si="230">BE120 + BE118 * (BF117 - BE117) * ten</f>
        <v>267267617.78261229</v>
      </c>
      <c r="BG120" s="98">
        <f t="shared" ref="BG120" si="231">BF120 + BF118 * (BG117 - BF117) * ten</f>
        <v>736983048.02560437</v>
      </c>
      <c r="BH120" s="98">
        <f t="shared" ref="BH120" si="232">BG120 + BG118 * (BH117 - BG117) * ten</f>
        <v>736983048.02560437</v>
      </c>
      <c r="BI120" s="98">
        <f t="shared" ref="BI120" si="233">BH120 + BH118 * (BI117 - BH117) * ten</f>
        <v>1033304975.987041</v>
      </c>
      <c r="BJ120" s="98">
        <f t="shared" ref="BJ120" si="234">BI120 + BI118 * (BJ117 - BI117) * ten</f>
        <v>1033304975.987041</v>
      </c>
      <c r="BK120" s="98">
        <f t="shared" ref="BK120" si="235">BJ120 + BJ118 * (BK117 - BJ117) * ten</f>
        <v>1033304975.987041</v>
      </c>
      <c r="BL120" s="98">
        <f t="shared" ref="BL120" si="236">BK120 + BK118 * (BL117 - BK117) * ten</f>
        <v>1147240050.4770112</v>
      </c>
      <c r="BM120" s="98">
        <f t="shared" ref="BM120" si="237">BL120 + BL118 * (BM117 - BL117) * ten</f>
        <v>1147240050.4770112</v>
      </c>
      <c r="BN120" s="98">
        <f t="shared" ref="BN120" si="238">BM120 + BM118 * (BN117 - BM117) * ten</f>
        <v>1147240050.4770112</v>
      </c>
    </row>
    <row r="121" spans="3:68" outlineLevel="1" x14ac:dyDescent="0.25">
      <c r="C121" s="88"/>
      <c r="E121" t="s">
        <v>788</v>
      </c>
      <c r="G121" t="s">
        <v>276</v>
      </c>
      <c r="H121" s="63"/>
      <c r="J121" s="98">
        <f>J119 + J120</f>
        <v>70347522.742783532</v>
      </c>
      <c r="K121" s="98">
        <f t="shared" ref="K121:BN121" si="239">K119 + K120</f>
        <v>71889579.862126708</v>
      </c>
      <c r="L121" s="98">
        <f t="shared" si="239"/>
        <v>71889579.862126708</v>
      </c>
      <c r="M121" s="98">
        <f t="shared" si="239"/>
        <v>74901167.615632802</v>
      </c>
      <c r="N121" s="98">
        <f t="shared" si="239"/>
        <v>74901167.615632802</v>
      </c>
      <c r="O121" s="98">
        <f t="shared" si="239"/>
        <v>93710629.765601858</v>
      </c>
      <c r="P121" s="98">
        <f t="shared" si="239"/>
        <v>93710629.765601858</v>
      </c>
      <c r="Q121" s="98">
        <f t="shared" ref="Q121:S121" si="240">Q119 + Q120</f>
        <v>129172140.65170608</v>
      </c>
      <c r="R121" s="98">
        <f t="shared" si="240"/>
        <v>129172140.65170608</v>
      </c>
      <c r="S121" s="98">
        <f t="shared" si="240"/>
        <v>141859519.95874372</v>
      </c>
      <c r="T121" s="98">
        <f t="shared" si="239"/>
        <v>141859519.95874372</v>
      </c>
      <c r="U121" s="98">
        <f t="shared" si="239"/>
        <v>172881835.78930855</v>
      </c>
      <c r="V121" s="98">
        <f t="shared" si="239"/>
        <v>175658818.93271774</v>
      </c>
      <c r="W121" s="98">
        <f t="shared" si="239"/>
        <v>175658818.93271774</v>
      </c>
      <c r="X121" s="98">
        <f t="shared" si="239"/>
        <v>179489440.30866027</v>
      </c>
      <c r="Y121" s="98">
        <f t="shared" si="239"/>
        <v>179489440.30866027</v>
      </c>
      <c r="Z121" s="98">
        <f t="shared" si="239"/>
        <v>191113561.21474415</v>
      </c>
      <c r="AA121" s="98">
        <f t="shared" si="239"/>
        <v>191113561.21474415</v>
      </c>
      <c r="AB121" s="98">
        <f t="shared" si="239"/>
        <v>205641061.83680803</v>
      </c>
      <c r="AC121" s="98">
        <f t="shared" si="239"/>
        <v>212209441.83006507</v>
      </c>
      <c r="AD121" s="98">
        <f t="shared" si="239"/>
        <v>212209441.83006507</v>
      </c>
      <c r="AE121" s="98">
        <f t="shared" si="239"/>
        <v>219310331.1564644</v>
      </c>
      <c r="AF121" s="98">
        <f t="shared" si="239"/>
        <v>219310331.1564644</v>
      </c>
      <c r="AG121" s="98">
        <f t="shared" si="239"/>
        <v>238566768.4201116</v>
      </c>
      <c r="AH121" s="98">
        <f t="shared" si="239"/>
        <v>238566768.4201116</v>
      </c>
      <c r="AI121" s="98">
        <f t="shared" si="239"/>
        <v>238919105.48652285</v>
      </c>
      <c r="AJ121" s="98">
        <f t="shared" ref="AJ121:AL121" si="241">AJ119 + AJ120</f>
        <v>238919105.48652285</v>
      </c>
      <c r="AK121" s="98">
        <f t="shared" si="241"/>
        <v>239732330.36759239</v>
      </c>
      <c r="AL121" s="98">
        <f t="shared" si="241"/>
        <v>239732330.36759239</v>
      </c>
      <c r="AM121" s="98">
        <f t="shared" si="239"/>
        <v>240993408.91415668</v>
      </c>
      <c r="AN121" s="98">
        <f t="shared" si="239"/>
        <v>240993408.91415668</v>
      </c>
      <c r="AO121" s="98">
        <f t="shared" si="239"/>
        <v>241362994.47106123</v>
      </c>
      <c r="AP121" s="98">
        <f t="shared" si="239"/>
        <v>241362994.47106123</v>
      </c>
      <c r="AQ121" s="98">
        <f t="shared" si="239"/>
        <v>242885391.57261074</v>
      </c>
      <c r="AR121" s="98">
        <f t="shared" si="239"/>
        <v>242885391.57261074</v>
      </c>
      <c r="AS121" s="98">
        <f t="shared" si="239"/>
        <v>244057114.01612049</v>
      </c>
      <c r="AT121" s="98">
        <f t="shared" si="239"/>
        <v>244057114.01612049</v>
      </c>
      <c r="AU121" s="98">
        <f t="shared" si="239"/>
        <v>244057114.01612049</v>
      </c>
      <c r="AV121" s="98">
        <f t="shared" si="239"/>
        <v>244448572.08845079</v>
      </c>
      <c r="AW121" s="98">
        <f t="shared" si="239"/>
        <v>244448572.08845079</v>
      </c>
      <c r="AX121" s="98">
        <f t="shared" si="239"/>
        <v>244448572.08845079</v>
      </c>
      <c r="AY121" s="98">
        <f t="shared" si="239"/>
        <v>289889311.65093553</v>
      </c>
      <c r="AZ121" s="98">
        <f t="shared" si="239"/>
        <v>289889311.65093553</v>
      </c>
      <c r="BA121" s="98">
        <f t="shared" si="239"/>
        <v>324972690.65874422</v>
      </c>
      <c r="BB121" s="98">
        <f t="shared" si="239"/>
        <v>324972690.65874422</v>
      </c>
      <c r="BC121" s="98">
        <f t="shared" ref="BC121:BE121" si="242">BC119 + BC120</f>
        <v>324972690.65874422</v>
      </c>
      <c r="BD121" s="98">
        <f t="shared" si="242"/>
        <v>337615140.52539581</v>
      </c>
      <c r="BE121" s="98">
        <f t="shared" si="242"/>
        <v>337615140.52539581</v>
      </c>
      <c r="BF121" s="98">
        <f t="shared" si="239"/>
        <v>337615140.52539581</v>
      </c>
      <c r="BG121" s="98">
        <f t="shared" si="239"/>
        <v>807330570.76838791</v>
      </c>
      <c r="BH121" s="98">
        <f t="shared" si="239"/>
        <v>807330570.76838791</v>
      </c>
      <c r="BI121" s="98">
        <f t="shared" si="239"/>
        <v>1103652498.7298245</v>
      </c>
      <c r="BJ121" s="98">
        <f t="shared" si="239"/>
        <v>1103652498.7298245</v>
      </c>
      <c r="BK121" s="98">
        <f t="shared" si="239"/>
        <v>1103652498.7298245</v>
      </c>
      <c r="BL121" s="98">
        <f t="shared" si="239"/>
        <v>1217587573.2197948</v>
      </c>
      <c r="BM121" s="98">
        <f t="shared" si="239"/>
        <v>1217587573.2197948</v>
      </c>
      <c r="BN121" s="98">
        <f t="shared" si="239"/>
        <v>1217587573.2197948</v>
      </c>
    </row>
    <row r="122" spans="3:68" outlineLevel="1" x14ac:dyDescent="0.25">
      <c r="C122" s="88"/>
      <c r="E122" t="s">
        <v>737</v>
      </c>
      <c r="G122" t="s">
        <v>276</v>
      </c>
      <c r="H122" s="63"/>
      <c r="J122" s="98">
        <f>$H$43</f>
        <v>415717271.70360655</v>
      </c>
      <c r="K122" s="98">
        <f t="shared" ref="K122:BN122" si="243">$H$43</f>
        <v>415717271.70360655</v>
      </c>
      <c r="L122" s="98">
        <f t="shared" si="243"/>
        <v>415717271.70360655</v>
      </c>
      <c r="M122" s="98">
        <f t="shared" si="243"/>
        <v>415717271.70360655</v>
      </c>
      <c r="N122" s="98">
        <f t="shared" si="243"/>
        <v>415717271.70360655</v>
      </c>
      <c r="O122" s="98">
        <f t="shared" si="243"/>
        <v>415717271.70360655</v>
      </c>
      <c r="P122" s="98">
        <f t="shared" si="243"/>
        <v>415717271.70360655</v>
      </c>
      <c r="Q122" s="98">
        <f t="shared" si="243"/>
        <v>415717271.70360655</v>
      </c>
      <c r="R122" s="98">
        <f t="shared" si="243"/>
        <v>415717271.70360655</v>
      </c>
      <c r="S122" s="98">
        <f t="shared" si="243"/>
        <v>415717271.70360655</v>
      </c>
      <c r="T122" s="98">
        <f t="shared" si="243"/>
        <v>415717271.70360655</v>
      </c>
      <c r="U122" s="98">
        <f t="shared" si="243"/>
        <v>415717271.70360655</v>
      </c>
      <c r="V122" s="98">
        <f t="shared" si="243"/>
        <v>415717271.70360655</v>
      </c>
      <c r="W122" s="98">
        <f t="shared" si="243"/>
        <v>415717271.70360655</v>
      </c>
      <c r="X122" s="98">
        <f t="shared" si="243"/>
        <v>415717271.70360655</v>
      </c>
      <c r="Y122" s="98">
        <f t="shared" si="243"/>
        <v>415717271.70360655</v>
      </c>
      <c r="Z122" s="98">
        <f t="shared" si="243"/>
        <v>415717271.70360655</v>
      </c>
      <c r="AA122" s="98">
        <f t="shared" si="243"/>
        <v>415717271.70360655</v>
      </c>
      <c r="AB122" s="98">
        <f t="shared" si="243"/>
        <v>415717271.70360655</v>
      </c>
      <c r="AC122" s="98">
        <f t="shared" si="243"/>
        <v>415717271.70360655</v>
      </c>
      <c r="AD122" s="98">
        <f t="shared" si="243"/>
        <v>415717271.70360655</v>
      </c>
      <c r="AE122" s="98">
        <f t="shared" si="243"/>
        <v>415717271.70360655</v>
      </c>
      <c r="AF122" s="98">
        <f t="shared" si="243"/>
        <v>415717271.70360655</v>
      </c>
      <c r="AG122" s="98">
        <f t="shared" si="243"/>
        <v>415717271.70360655</v>
      </c>
      <c r="AH122" s="98">
        <f t="shared" si="243"/>
        <v>415717271.70360655</v>
      </c>
      <c r="AI122" s="98">
        <f t="shared" si="243"/>
        <v>415717271.70360655</v>
      </c>
      <c r="AJ122" s="98">
        <f t="shared" si="243"/>
        <v>415717271.70360655</v>
      </c>
      <c r="AK122" s="98">
        <f t="shared" si="243"/>
        <v>415717271.70360655</v>
      </c>
      <c r="AL122" s="98">
        <f t="shared" si="243"/>
        <v>415717271.70360655</v>
      </c>
      <c r="AM122" s="98">
        <f t="shared" si="243"/>
        <v>415717271.70360655</v>
      </c>
      <c r="AN122" s="98">
        <f t="shared" si="243"/>
        <v>415717271.70360655</v>
      </c>
      <c r="AO122" s="98">
        <f t="shared" si="243"/>
        <v>415717271.70360655</v>
      </c>
      <c r="AP122" s="98">
        <f t="shared" si="243"/>
        <v>415717271.70360655</v>
      </c>
      <c r="AQ122" s="98">
        <f t="shared" si="243"/>
        <v>415717271.70360655</v>
      </c>
      <c r="AR122" s="98">
        <f t="shared" si="243"/>
        <v>415717271.70360655</v>
      </c>
      <c r="AS122" s="98">
        <f t="shared" si="243"/>
        <v>415717271.70360655</v>
      </c>
      <c r="AT122" s="98">
        <f t="shared" si="243"/>
        <v>415717271.70360655</v>
      </c>
      <c r="AU122" s="98">
        <f t="shared" si="243"/>
        <v>415717271.70360655</v>
      </c>
      <c r="AV122" s="98">
        <f t="shared" si="243"/>
        <v>415717271.70360655</v>
      </c>
      <c r="AW122" s="98">
        <f t="shared" si="243"/>
        <v>415717271.70360655</v>
      </c>
      <c r="AX122" s="98">
        <f t="shared" si="243"/>
        <v>415717271.70360655</v>
      </c>
      <c r="AY122" s="98">
        <f t="shared" si="243"/>
        <v>415717271.70360655</v>
      </c>
      <c r="AZ122" s="98">
        <f t="shared" si="243"/>
        <v>415717271.70360655</v>
      </c>
      <c r="BA122" s="98">
        <f t="shared" si="243"/>
        <v>415717271.70360655</v>
      </c>
      <c r="BB122" s="98">
        <f t="shared" si="243"/>
        <v>415717271.70360655</v>
      </c>
      <c r="BC122" s="98">
        <f t="shared" si="243"/>
        <v>415717271.70360655</v>
      </c>
      <c r="BD122" s="98">
        <f t="shared" si="243"/>
        <v>415717271.70360655</v>
      </c>
      <c r="BE122" s="98">
        <f t="shared" si="243"/>
        <v>415717271.70360655</v>
      </c>
      <c r="BF122" s="98">
        <f t="shared" si="243"/>
        <v>415717271.70360655</v>
      </c>
      <c r="BG122" s="98">
        <f t="shared" si="243"/>
        <v>415717271.70360655</v>
      </c>
      <c r="BH122" s="98">
        <f t="shared" si="243"/>
        <v>415717271.70360655</v>
      </c>
      <c r="BI122" s="98">
        <f t="shared" si="243"/>
        <v>415717271.70360655</v>
      </c>
      <c r="BJ122" s="98">
        <f t="shared" si="243"/>
        <v>415717271.70360655</v>
      </c>
      <c r="BK122" s="98">
        <f t="shared" si="243"/>
        <v>415717271.70360655</v>
      </c>
      <c r="BL122" s="98">
        <f t="shared" si="243"/>
        <v>415717271.70360655</v>
      </c>
      <c r="BM122" s="98">
        <f t="shared" si="243"/>
        <v>415717271.70360655</v>
      </c>
      <c r="BN122" s="98">
        <f t="shared" si="243"/>
        <v>415717271.70360655</v>
      </c>
    </row>
    <row r="123" spans="3:68" outlineLevel="1" x14ac:dyDescent="0.25">
      <c r="C123" s="88"/>
      <c r="E123" t="s">
        <v>789</v>
      </c>
      <c r="G123" t="s">
        <v>268</v>
      </c>
      <c r="H123" s="293" t="str">
        <f>IF(((SUMPRODUCT($J$102:$BN$102, $J$103:$BN$103) * ten) - $H$60) &gt; 0, $J$117, IF(BN121 &gt; BN122, "", $H$90))</f>
        <v/>
      </c>
      <c r="I123" s="271"/>
      <c r="J123" s="289" t="str">
        <f t="shared" ref="J123:K123" si="244">IF((J121 &gt; J122) = (I122 &gt; J122), "", J117 - (J121 - J122) / (I118 * ten))</f>
        <v/>
      </c>
      <c r="K123" s="289" t="str">
        <f t="shared" si="244"/>
        <v/>
      </c>
      <c r="L123" s="289" t="str">
        <f t="shared" ref="L123" si="245">IF((L121 &gt; L122) = (K122 &gt; L122), "", L117 - (L121 - L122) / (K118 * ten))</f>
        <v/>
      </c>
      <c r="M123" s="289" t="str">
        <f t="shared" ref="M123" si="246">IF((M121 &gt; M122) = (L122 &gt; M122), "", M117 - (M121 - M122) / (L118 * ten))</f>
        <v/>
      </c>
      <c r="N123" s="289" t="str">
        <f t="shared" ref="N123" si="247">IF((N121 &gt; N122) = (M122 &gt; N122), "", N117 - (N121 - N122) / (M118 * ten))</f>
        <v/>
      </c>
      <c r="O123" s="289" t="str">
        <f t="shared" ref="O123" si="248">IF((O121 &gt; O122) = (N122 &gt; O122), "", O117 - (O121 - O122) / (N118 * ten))</f>
        <v/>
      </c>
      <c r="P123" s="289" t="str">
        <f t="shared" ref="P123" si="249">IF((P121 &gt; P122) = (O122 &gt; P122), "", P117 - (P121 - P122) / (O118 * ten))</f>
        <v/>
      </c>
      <c r="Q123" s="289" t="str">
        <f t="shared" ref="Q123" si="250">IF((Q121 &gt; Q122) = (P122 &gt; Q122), "", Q117 - (Q121 - Q122) / (P118 * ten))</f>
        <v/>
      </c>
      <c r="R123" s="289" t="str">
        <f t="shared" ref="R123" si="251">IF((R121 &gt; R122) = (Q122 &gt; R122), "", R117 - (R121 - R122) / (Q118 * ten))</f>
        <v/>
      </c>
      <c r="S123" s="289" t="str">
        <f t="shared" ref="S123" si="252">IF((S121 &gt; S122) = (R122 &gt; S122), "", S117 - (S121 - S122) / (R118 * ten))</f>
        <v/>
      </c>
      <c r="T123" s="289" t="str">
        <f t="shared" ref="T123" si="253">IF((T121 &gt; T122) = (S122 &gt; T122), "", T117 - (T121 - T122) / (S118 * ten))</f>
        <v/>
      </c>
      <c r="U123" s="289" t="str">
        <f t="shared" ref="U123" si="254">IF((U121 &gt; U122) = (T122 &gt; U122), "", U117 - (U121 - U122) / (T118 * ten))</f>
        <v/>
      </c>
      <c r="V123" s="289" t="str">
        <f t="shared" ref="V123" si="255">IF((V121 &gt; V122) = (U122 &gt; V122), "", V117 - (V121 - V122) / (U118 * ten))</f>
        <v/>
      </c>
      <c r="W123" s="289" t="str">
        <f t="shared" ref="W123" si="256">IF((W121 &gt; W122) = (V122 &gt; W122), "", W117 - (W121 - W122) / (V118 * ten))</f>
        <v/>
      </c>
      <c r="X123" s="289" t="str">
        <f t="shared" ref="X123" si="257">IF((X121 &gt; X122) = (W122 &gt; X122), "", X117 - (X121 - X122) / (W118 * ten))</f>
        <v/>
      </c>
      <c r="Y123" s="289" t="str">
        <f t="shared" ref="Y123" si="258">IF((Y121 &gt; Y122) = (X122 &gt; Y122), "", Y117 - (Y121 - Y122) / (X118 * ten))</f>
        <v/>
      </c>
      <c r="Z123" s="289" t="str">
        <f t="shared" ref="Z123" si="259">IF((Z121 &gt; Z122) = (Y122 &gt; Z122), "", Z117 - (Z121 - Z122) / (Y118 * ten))</f>
        <v/>
      </c>
      <c r="AA123" s="289" t="str">
        <f t="shared" ref="AA123" si="260">IF((AA121 &gt; AA122) = (Z122 &gt; AA122), "", AA117 - (AA121 - AA122) / (Z118 * ten))</f>
        <v/>
      </c>
      <c r="AB123" s="289" t="str">
        <f t="shared" ref="AB123" si="261">IF((AB121 &gt; AB122) = (AA122 &gt; AB122), "", AB117 - (AB121 - AB122) / (AA118 * ten))</f>
        <v/>
      </c>
      <c r="AC123" s="289" t="str">
        <f t="shared" ref="AC123" si="262">IF((AC121 &gt; AC122) = (AB122 &gt; AC122), "", AC117 - (AC121 - AC122) / (AB118 * ten))</f>
        <v/>
      </c>
      <c r="AD123" s="289" t="str">
        <f t="shared" ref="AD123" si="263">IF((AD121 &gt; AD122) = (AC122 &gt; AD122), "", AD117 - (AD121 - AD122) / (AC118 * ten))</f>
        <v/>
      </c>
      <c r="AE123" s="289" t="str">
        <f t="shared" ref="AE123" si="264">IF((AE121 &gt; AE122) = (AD122 &gt; AE122), "", AE117 - (AE121 - AE122) / (AD118 * ten))</f>
        <v/>
      </c>
      <c r="AF123" s="289" t="str">
        <f t="shared" ref="AF123" si="265">IF((AF121 &gt; AF122) = (AE122 &gt; AF122), "", AF117 - (AF121 - AF122) / (AE118 * ten))</f>
        <v/>
      </c>
      <c r="AG123" s="289" t="str">
        <f t="shared" ref="AG123" si="266">IF((AG121 &gt; AG122) = (AF122 &gt; AG122), "", AG117 - (AG121 - AG122) / (AF118 * ten))</f>
        <v/>
      </c>
      <c r="AH123" s="289" t="str">
        <f t="shared" ref="AH123" si="267">IF((AH121 &gt; AH122) = (AG122 &gt; AH122), "", AH117 - (AH121 - AH122) / (AG118 * ten))</f>
        <v/>
      </c>
      <c r="AI123" s="289" t="str">
        <f t="shared" ref="AI123" si="268">IF((AI121 &gt; AI122) = (AH122 &gt; AI122), "", AI117 - (AI121 - AI122) / (AH118 * ten))</f>
        <v/>
      </c>
      <c r="AJ123" s="289" t="str">
        <f t="shared" ref="AJ123" si="269">IF((AJ121 &gt; AJ122) = (AI122 &gt; AJ122), "", AJ117 - (AJ121 - AJ122) / (AI118 * ten))</f>
        <v/>
      </c>
      <c r="AK123" s="289" t="str">
        <f t="shared" ref="AK123" si="270">IF((AK121 &gt; AK122) = (AJ122 &gt; AK122), "", AK117 - (AK121 - AK122) / (AJ118 * ten))</f>
        <v/>
      </c>
      <c r="AL123" s="289" t="str">
        <f t="shared" ref="AL123" si="271">IF((AL121 &gt; AL122) = (AK122 &gt; AL122), "", AL117 - (AL121 - AL122) / (AK118 * ten))</f>
        <v/>
      </c>
      <c r="AM123" s="289" t="str">
        <f t="shared" ref="AM123" si="272">IF((AM121 &gt; AM122) = (AL122 &gt; AM122), "", AM117 - (AM121 - AM122) / (AL118 * ten))</f>
        <v/>
      </c>
      <c r="AN123" s="289" t="str">
        <f t="shared" ref="AN123" si="273">IF((AN121 &gt; AN122) = (AM122 &gt; AN122), "", AN117 - (AN121 - AN122) / (AM118 * ten))</f>
        <v/>
      </c>
      <c r="AO123" s="289" t="str">
        <f t="shared" ref="AO123" si="274">IF((AO121 &gt; AO122) = (AN122 &gt; AO122), "", AO117 - (AO121 - AO122) / (AN118 * ten))</f>
        <v/>
      </c>
      <c r="AP123" s="289" t="str">
        <f t="shared" ref="AP123" si="275">IF((AP121 &gt; AP122) = (AO122 &gt; AP122), "", AP117 - (AP121 - AP122) / (AO118 * ten))</f>
        <v/>
      </c>
      <c r="AQ123" s="289" t="str">
        <f t="shared" ref="AQ123" si="276">IF((AQ121 &gt; AQ122) = (AP122 &gt; AQ122), "", AQ117 - (AQ121 - AQ122) / (AP118 * ten))</f>
        <v/>
      </c>
      <c r="AR123" s="289" t="str">
        <f t="shared" ref="AR123" si="277">IF((AR121 &gt; AR122) = (AQ122 &gt; AR122), "", AR117 - (AR121 - AR122) / (AQ118 * ten))</f>
        <v/>
      </c>
      <c r="AS123" s="289" t="str">
        <f t="shared" ref="AS123" si="278">IF((AS121 &gt; AS122) = (AR122 &gt; AS122), "", AS117 - (AS121 - AS122) / (AR118 * ten))</f>
        <v/>
      </c>
      <c r="AT123" s="289" t="str">
        <f t="shared" ref="AT123" si="279">IF((AT121 &gt; AT122) = (AS122 &gt; AT122), "", AT117 - (AT121 - AT122) / (AS118 * ten))</f>
        <v/>
      </c>
      <c r="AU123" s="289" t="str">
        <f t="shared" ref="AU123" si="280">IF((AU121 &gt; AU122) = (AT122 &gt; AU122), "", AU117 - (AU121 - AU122) / (AT118 * ten))</f>
        <v/>
      </c>
      <c r="AV123" s="289" t="str">
        <f t="shared" ref="AV123" si="281">IF((AV121 &gt; AV122) = (AU122 &gt; AV122), "", AV117 - (AV121 - AV122) / (AU118 * ten))</f>
        <v/>
      </c>
      <c r="AW123" s="289" t="str">
        <f t="shared" ref="AW123" si="282">IF((AW121 &gt; AW122) = (AV122 &gt; AW122), "", AW117 - (AW121 - AW122) / (AV118 * ten))</f>
        <v/>
      </c>
      <c r="AX123" s="289" t="str">
        <f t="shared" ref="AX123" si="283">IF((AX121 &gt; AX122) = (AW122 &gt; AX122), "", AX117 - (AX121 - AX122) / (AW118 * ten))</f>
        <v/>
      </c>
      <c r="AY123" s="289" t="str">
        <f t="shared" ref="AY123" si="284">IF((AY121 &gt; AY122) = (AX122 &gt; AY122), "", AY117 - (AY121 - AY122) / (AX118 * ten))</f>
        <v/>
      </c>
      <c r="AZ123" s="289" t="str">
        <f t="shared" ref="AZ123" si="285">IF((AZ121 &gt; AZ122) = (AY122 &gt; AZ122), "", AZ117 - (AZ121 - AZ122) / (AY118 * ten))</f>
        <v/>
      </c>
      <c r="BA123" s="289" t="str">
        <f t="shared" ref="BA123" si="286">IF((BA121 &gt; BA122) = (AZ122 &gt; BA122), "", BA117 - (BA121 - BA122) / (AZ118 * ten))</f>
        <v/>
      </c>
      <c r="BB123" s="289" t="str">
        <f t="shared" ref="BB123" si="287">IF((BB121 &gt; BB122) = (BA122 &gt; BB122), "", BB117 - (BB121 - BB122) / (BA118 * ten))</f>
        <v/>
      </c>
      <c r="BC123" s="289" t="str">
        <f t="shared" ref="BC123" si="288">IF((BC121 &gt; BC122) = (BB122 &gt; BC122), "", BC117 - (BC121 - BC122) / (BB118 * ten))</f>
        <v/>
      </c>
      <c r="BD123" s="289" t="str">
        <f t="shared" ref="BD123" si="289">IF((BD121 &gt; BD122) = (BC122 &gt; BD122), "", BD117 - (BD121 - BD122) / (BC118 * ten))</f>
        <v/>
      </c>
      <c r="BE123" s="289" t="str">
        <f t="shared" ref="BE123" si="290">IF((BE121 &gt; BE122) = (BD122 &gt; BE122), "", BE117 - (BE121 - BE122) / (BD118 * ten))</f>
        <v/>
      </c>
      <c r="BF123" s="289" t="str">
        <f t="shared" ref="BF123" si="291">IF((BF121 &gt; BF122) = (BE122 &gt; BF122), "", BF117 - (BF121 - BF122) / (BE118 * ten))</f>
        <v/>
      </c>
      <c r="BG123" s="289">
        <f t="shared" ref="BG123" si="292">IF((BG121 &gt; BG122) = (BF122 &gt; BG122), "", BG117 - (BG121 - BG122) / (BF118 * ten))</f>
        <v>1.147104687642698</v>
      </c>
      <c r="BH123" s="289">
        <f t="shared" ref="BH123" si="293">IF((BH121 &gt; BH122) = (BG122 &gt; BH122), "", BH117 - (BH121 - BH122) / (BG118 * ten))</f>
        <v>1.147104687642698</v>
      </c>
      <c r="BI123" s="289">
        <f t="shared" ref="BI123" si="294">IF((BI121 &gt; BI122) = (BH122 &gt; BI122), "", BI117 - (BI121 - BI122) / (BH118 * ten))</f>
        <v>1.147104687642698</v>
      </c>
      <c r="BJ123" s="289">
        <f t="shared" ref="BJ123" si="295">IF((BJ121 &gt; BJ122) = (BI122 &gt; BJ122), "", BJ117 - (BJ121 - BJ122) / (BI118 * ten))</f>
        <v>1.147104687642698</v>
      </c>
      <c r="BK123" s="289">
        <f t="shared" ref="BK123" si="296">IF((BK121 &gt; BK122) = (BJ122 &gt; BK122), "", BK117 - (BK121 - BK122) / (BJ118 * ten))</f>
        <v>1.147104687642698</v>
      </c>
      <c r="BL123" s="289">
        <f t="shared" ref="BL123" si="297">IF((BL121 &gt; BL122) = (BK122 &gt; BL122), "", BL117 - (BL121 - BL122) / (BK118 * ten))</f>
        <v>1.1471046876426989</v>
      </c>
      <c r="BM123" s="289">
        <f t="shared" ref="BM123" si="298">IF((BM121 &gt; BM122) = (BL122 &gt; BM122), "", BM117 - (BM121 - BM122) / (BL118 * ten))</f>
        <v>1.1471046876426989</v>
      </c>
      <c r="BN123" s="289">
        <f t="shared" ref="BN123" si="299">IF((BN121 &gt; BN122) = (BM122 &gt; BN122), "", BN117 - (BN121 - BN122) / (BM118 * ten))</f>
        <v>1.1471046876426989</v>
      </c>
      <c r="BO123" s="271"/>
      <c r="BP123" s="271"/>
    </row>
    <row r="124" spans="3:68" x14ac:dyDescent="0.25">
      <c r="C124" s="88"/>
    </row>
    <row r="125" spans="3:68" x14ac:dyDescent="0.25">
      <c r="D125" s="32" t="s">
        <v>790</v>
      </c>
      <c r="E125"/>
      <c r="H125" s="210"/>
      <c r="I125" s="210" t="s">
        <v>153</v>
      </c>
      <c r="BP125" t="s">
        <v>791</v>
      </c>
    </row>
    <row r="126" spans="3:68" x14ac:dyDescent="0.25">
      <c r="C126" s="32"/>
      <c r="D126" s="29" t="s">
        <v>792</v>
      </c>
      <c r="H126" s="210"/>
      <c r="I126" s="210"/>
    </row>
    <row r="127" spans="3:68" x14ac:dyDescent="0.25">
      <c r="C127" s="32"/>
      <c r="D127" s="29" t="s">
        <v>793</v>
      </c>
      <c r="H127" s="210"/>
      <c r="I127" s="210"/>
    </row>
    <row r="128" spans="3:68" x14ac:dyDescent="0.25">
      <c r="C128" s="32"/>
      <c r="D128" s="29"/>
      <c r="H128" s="210"/>
      <c r="I128" s="210"/>
    </row>
    <row r="129" spans="2:68" x14ac:dyDescent="0.25">
      <c r="C129" s="88"/>
      <c r="E129" t="s">
        <v>790</v>
      </c>
      <c r="G129" t="s">
        <v>268</v>
      </c>
      <c r="H129" s="289">
        <f>MIN(H123:BN123)</f>
        <v>1.147104687642698</v>
      </c>
      <c r="I129" s="271"/>
      <c r="J129" s="271"/>
      <c r="K129" s="271"/>
      <c r="L129" s="271"/>
      <c r="M129" s="271"/>
      <c r="N129" s="271"/>
      <c r="O129" s="271"/>
      <c r="P129" s="271"/>
      <c r="Q129" s="271"/>
      <c r="R129" s="271"/>
      <c r="S129" s="271"/>
      <c r="T129" s="271"/>
      <c r="U129" s="271"/>
      <c r="V129" s="271"/>
      <c r="W129" s="271"/>
      <c r="X129" s="271"/>
      <c r="Y129" s="271"/>
      <c r="Z129" s="271"/>
      <c r="AA129" s="271"/>
      <c r="AB129" s="271"/>
      <c r="AC129" s="271"/>
      <c r="AD129" s="271"/>
      <c r="AE129" s="271"/>
      <c r="AF129" s="271"/>
      <c r="AG129" s="271"/>
      <c r="AH129" s="271"/>
      <c r="AI129" s="271"/>
      <c r="AJ129" s="271"/>
      <c r="AK129" s="271"/>
      <c r="AL129" s="271"/>
      <c r="AM129" s="271"/>
      <c r="AN129" s="271"/>
      <c r="AO129" s="271"/>
      <c r="AP129" s="271"/>
      <c r="AQ129" s="271"/>
      <c r="AR129" s="271"/>
      <c r="AS129" s="271"/>
      <c r="AT129" s="271"/>
      <c r="AU129" s="271"/>
      <c r="AV129" s="271"/>
      <c r="AW129" s="271"/>
      <c r="AX129" s="271"/>
      <c r="AY129" s="271"/>
      <c r="AZ129" s="271"/>
      <c r="BA129" s="271"/>
      <c r="BB129" s="271"/>
      <c r="BC129" s="271"/>
      <c r="BD129" s="271"/>
      <c r="BE129" s="271"/>
      <c r="BF129" s="271"/>
      <c r="BG129" s="271"/>
      <c r="BH129" s="271"/>
      <c r="BI129" s="271"/>
      <c r="BJ129" s="271"/>
      <c r="BK129" s="271"/>
      <c r="BL129" s="271"/>
      <c r="BM129" s="271"/>
      <c r="BN129" s="271"/>
      <c r="BO129" s="271"/>
      <c r="BP129" s="271"/>
    </row>
    <row r="130" spans="2:68" x14ac:dyDescent="0.25">
      <c r="C130" s="88"/>
    </row>
    <row r="131" spans="2:68" x14ac:dyDescent="0.25">
      <c r="C131" s="31" t="str">
        <f ca="1">INDEX('Version control'!$H$34:$H$57,MATCH($A$1,'Version control'!$F$34:$F$57,0),1)&amp;"-E: Adder to be applied to unit rates"</f>
        <v>Section 115-E: Adder to be applied to unit rates</v>
      </c>
      <c r="D131" s="31"/>
      <c r="E131" s="31"/>
      <c r="F131" s="31"/>
      <c r="G131" s="31"/>
      <c r="H131" s="31"/>
      <c r="I131" s="31"/>
      <c r="J131" s="31"/>
      <c r="K131" s="31"/>
      <c r="L131" s="31"/>
      <c r="M131" s="31"/>
      <c r="N131" s="31"/>
      <c r="O131" s="31"/>
      <c r="P131" s="31"/>
      <c r="Q131" s="31"/>
      <c r="R131" s="31"/>
      <c r="S131" s="31"/>
      <c r="T131" s="31"/>
      <c r="U131" s="31"/>
      <c r="V131" s="31"/>
      <c r="W131" s="31"/>
      <c r="X131" s="31"/>
      <c r="Y131" s="31"/>
      <c r="Z131" s="31"/>
      <c r="AA131" s="31"/>
      <c r="AB131" s="31"/>
      <c r="AC131" s="31"/>
      <c r="AD131" s="31"/>
      <c r="AE131" s="31"/>
      <c r="AF131" s="31"/>
      <c r="AG131" s="31"/>
      <c r="AH131" s="31"/>
      <c r="AI131" s="31"/>
      <c r="AJ131" s="31"/>
      <c r="AK131" s="31"/>
      <c r="AL131" s="31"/>
      <c r="AM131" s="31"/>
      <c r="AN131" s="31"/>
      <c r="AO131" s="31"/>
      <c r="AP131" s="31"/>
      <c r="AQ131" s="31"/>
      <c r="AR131" s="31"/>
      <c r="AS131" s="31"/>
      <c r="AT131" s="31"/>
      <c r="AU131" s="31"/>
      <c r="AV131" s="31"/>
      <c r="AW131" s="31"/>
      <c r="AX131" s="31"/>
      <c r="AY131" s="31"/>
      <c r="AZ131" s="31"/>
      <c r="BA131" s="31"/>
      <c r="BB131" s="31"/>
      <c r="BC131" s="31"/>
      <c r="BD131" s="31"/>
      <c r="BE131" s="31"/>
      <c r="BF131" s="31"/>
      <c r="BG131" s="31"/>
      <c r="BH131" s="31"/>
      <c r="BI131" s="31"/>
      <c r="BJ131" s="31"/>
      <c r="BK131" s="31"/>
      <c r="BL131" s="31"/>
      <c r="BM131" s="31"/>
      <c r="BN131" s="31"/>
      <c r="BO131" s="31"/>
      <c r="BP131" s="31"/>
    </row>
    <row r="132" spans="2:68" x14ac:dyDescent="0.25">
      <c r="B132" s="29"/>
      <c r="C132" s="88"/>
    </row>
    <row r="133" spans="2:68" x14ac:dyDescent="0.25">
      <c r="C133" s="29" t="s">
        <v>794</v>
      </c>
    </row>
    <row r="134" spans="2:68" x14ac:dyDescent="0.25">
      <c r="B134" s="29"/>
      <c r="C134" s="29" t="s">
        <v>795</v>
      </c>
    </row>
    <row r="135" spans="2:68" x14ac:dyDescent="0.25">
      <c r="B135" s="29"/>
      <c r="C135" s="88"/>
    </row>
    <row r="136" spans="2:68" x14ac:dyDescent="0.25">
      <c r="B136" s="29"/>
      <c r="E136" s="88" t="s">
        <v>796</v>
      </c>
      <c r="F136" s="2"/>
      <c r="I136" t="s">
        <v>153</v>
      </c>
      <c r="BP136" t="s">
        <v>791</v>
      </c>
    </row>
    <row r="137" spans="2:68" x14ac:dyDescent="0.25">
      <c r="B137" s="29"/>
      <c r="E137" s="29" t="s">
        <v>797</v>
      </c>
    </row>
    <row r="138" spans="2:68" x14ac:dyDescent="0.25">
      <c r="B138" s="29"/>
      <c r="D138"/>
      <c r="E138" s="29" t="s">
        <v>798</v>
      </c>
      <c r="F138" s="2"/>
    </row>
    <row r="139" spans="2:68" x14ac:dyDescent="0.25">
      <c r="C139" s="88"/>
      <c r="F139" s="23" t="s">
        <v>799</v>
      </c>
      <c r="G139" s="23" t="s">
        <v>268</v>
      </c>
      <c r="H139" s="269"/>
      <c r="I139" s="269"/>
      <c r="J139" s="278">
        <f>MAX($H$129, J74)</f>
        <v>1.147104687642698</v>
      </c>
      <c r="K139" s="278">
        <f t="shared" ref="K139:T139" si="300">MAX($H$129, K74)</f>
        <v>1.147104687642698</v>
      </c>
      <c r="L139" s="278">
        <f t="shared" si="300"/>
        <v>1.147104687642698</v>
      </c>
      <c r="M139" s="278">
        <f t="shared" si="300"/>
        <v>1.147104687642698</v>
      </c>
      <c r="N139" s="278">
        <f t="shared" si="300"/>
        <v>1.147104687642698</v>
      </c>
      <c r="O139" s="278">
        <f t="shared" si="300"/>
        <v>1.147104687642698</v>
      </c>
      <c r="P139" s="278">
        <f t="shared" si="300"/>
        <v>1.147104687642698</v>
      </c>
      <c r="Q139" s="287"/>
      <c r="R139" s="287"/>
      <c r="S139" s="287"/>
      <c r="T139" s="278">
        <f t="shared" si="300"/>
        <v>1.147104687642698</v>
      </c>
      <c r="U139" s="287"/>
      <c r="V139" s="287"/>
      <c r="W139" s="287"/>
      <c r="X139" s="287"/>
      <c r="Y139" s="287"/>
      <c r="Z139" s="287"/>
      <c r="AA139" s="287"/>
      <c r="AB139" s="287"/>
      <c r="AC139" s="271"/>
      <c r="AD139" s="271"/>
      <c r="AE139" s="271"/>
      <c r="AF139" s="271"/>
      <c r="AG139" s="271"/>
      <c r="AH139" s="271"/>
      <c r="AI139" s="271"/>
      <c r="AJ139" s="271"/>
      <c r="AK139" s="271"/>
      <c r="AL139" s="271"/>
      <c r="AM139" s="271"/>
      <c r="AN139" s="271"/>
      <c r="AO139" s="271"/>
      <c r="AP139" s="271"/>
      <c r="AQ139" s="271"/>
      <c r="AR139" s="271"/>
      <c r="AS139" s="271"/>
      <c r="AT139" s="271"/>
      <c r="AU139" s="271"/>
      <c r="AV139" s="271"/>
      <c r="AW139" s="271"/>
      <c r="AX139" s="271"/>
      <c r="AY139" s="271"/>
      <c r="AZ139" s="271"/>
      <c r="BA139" s="271"/>
      <c r="BB139" s="271"/>
      <c r="BC139" s="271"/>
      <c r="BD139" s="271"/>
      <c r="BE139" s="271"/>
      <c r="BF139" s="271"/>
      <c r="BG139" s="271"/>
      <c r="BH139" s="271"/>
      <c r="BI139" s="271"/>
      <c r="BJ139" s="271"/>
      <c r="BK139" s="271"/>
      <c r="BL139" s="271"/>
      <c r="BM139" s="271"/>
      <c r="BN139" s="271"/>
      <c r="BO139" s="271"/>
      <c r="BP139" s="271"/>
    </row>
    <row r="140" spans="2:68" x14ac:dyDescent="0.25">
      <c r="C140" s="88"/>
      <c r="F140" t="s">
        <v>800</v>
      </c>
      <c r="G140" t="s">
        <v>268</v>
      </c>
      <c r="H140" s="271"/>
      <c r="I140" s="271"/>
      <c r="J140" s="279">
        <f>MAX($H$129, J75)</f>
        <v>1.147104687642698</v>
      </c>
      <c r="K140" s="279">
        <f t="shared" ref="K140:T140" si="301">MAX($H$129, K75)</f>
        <v>1.147104687642698</v>
      </c>
      <c r="L140" s="279">
        <f t="shared" si="301"/>
        <v>1.147104687642698</v>
      </c>
      <c r="M140" s="279">
        <f t="shared" si="301"/>
        <v>1.147104687642698</v>
      </c>
      <c r="N140" s="279">
        <f t="shared" si="301"/>
        <v>1.147104687642698</v>
      </c>
      <c r="O140" s="279">
        <f t="shared" si="301"/>
        <v>1.147104687642698</v>
      </c>
      <c r="P140" s="279">
        <f t="shared" si="301"/>
        <v>1.147104687642698</v>
      </c>
      <c r="Q140" s="272"/>
      <c r="R140" s="272"/>
      <c r="S140" s="272"/>
      <c r="T140" s="279">
        <f t="shared" si="301"/>
        <v>1.147104687642698</v>
      </c>
      <c r="U140" s="272"/>
      <c r="V140" s="272"/>
      <c r="W140" s="272"/>
      <c r="X140" s="272"/>
      <c r="Y140" s="272"/>
      <c r="Z140" s="272"/>
      <c r="AA140" s="272"/>
      <c r="AB140" s="272"/>
      <c r="AC140" s="271"/>
      <c r="AD140" s="271"/>
      <c r="AE140" s="271"/>
      <c r="AF140" s="271"/>
      <c r="AG140" s="271"/>
      <c r="AH140" s="271"/>
      <c r="AI140" s="271"/>
      <c r="AJ140" s="271"/>
      <c r="AK140" s="271"/>
      <c r="AL140" s="271"/>
      <c r="AM140" s="271"/>
      <c r="AN140" s="271"/>
      <c r="AO140" s="271"/>
      <c r="AP140" s="271"/>
      <c r="AQ140" s="271"/>
      <c r="AR140" s="271"/>
      <c r="AS140" s="271"/>
      <c r="AT140" s="271"/>
      <c r="AU140" s="271"/>
      <c r="AV140" s="271"/>
      <c r="AW140" s="271"/>
      <c r="AX140" s="271"/>
      <c r="AY140" s="271"/>
      <c r="AZ140" s="271"/>
      <c r="BA140" s="271"/>
      <c r="BB140" s="271"/>
      <c r="BC140" s="271"/>
      <c r="BD140" s="271"/>
      <c r="BE140" s="271"/>
      <c r="BF140" s="271"/>
      <c r="BG140" s="271"/>
      <c r="BH140" s="271"/>
      <c r="BI140" s="271"/>
      <c r="BJ140" s="271"/>
      <c r="BK140" s="271"/>
      <c r="BL140" s="271"/>
      <c r="BM140" s="271"/>
      <c r="BN140" s="271"/>
      <c r="BO140" s="271"/>
      <c r="BP140" s="271"/>
    </row>
    <row r="141" spans="2:68" x14ac:dyDescent="0.25">
      <c r="C141" s="88"/>
      <c r="F141" s="37" t="s">
        <v>801</v>
      </c>
      <c r="G141" s="37" t="s">
        <v>268</v>
      </c>
      <c r="H141" s="275"/>
      <c r="I141" s="275"/>
      <c r="J141" s="280">
        <f>MAX($H$129, J76)</f>
        <v>1.147104687642698</v>
      </c>
      <c r="K141" s="280">
        <f t="shared" ref="K141:T141" si="302">MAX($H$129, K76)</f>
        <v>1.147104687642698</v>
      </c>
      <c r="L141" s="280">
        <f t="shared" si="302"/>
        <v>1.147104687642698</v>
      </c>
      <c r="M141" s="280">
        <f t="shared" si="302"/>
        <v>1.147104687642698</v>
      </c>
      <c r="N141" s="280">
        <f t="shared" si="302"/>
        <v>1.147104687642698</v>
      </c>
      <c r="O141" s="280">
        <f t="shared" si="302"/>
        <v>1.147104687642698</v>
      </c>
      <c r="P141" s="280">
        <f t="shared" si="302"/>
        <v>1.147104687642698</v>
      </c>
      <c r="Q141" s="276"/>
      <c r="R141" s="276"/>
      <c r="S141" s="276"/>
      <c r="T141" s="280">
        <f t="shared" si="302"/>
        <v>1.147104687642698</v>
      </c>
      <c r="U141" s="276"/>
      <c r="V141" s="276"/>
      <c r="W141" s="276"/>
      <c r="X141" s="276"/>
      <c r="Y141" s="276"/>
      <c r="Z141" s="276"/>
      <c r="AA141" s="276"/>
      <c r="AB141" s="276"/>
      <c r="AC141" s="271"/>
      <c r="AD141" s="271"/>
      <c r="AE141" s="271"/>
      <c r="AF141" s="271"/>
      <c r="AG141" s="271"/>
      <c r="AH141" s="271"/>
      <c r="AI141" s="271"/>
      <c r="AJ141" s="271"/>
      <c r="AK141" s="271"/>
      <c r="AL141" s="271"/>
      <c r="AM141" s="271"/>
      <c r="AN141" s="271"/>
      <c r="AO141" s="271"/>
      <c r="AP141" s="271"/>
      <c r="AQ141" s="271"/>
      <c r="AR141" s="271"/>
      <c r="AS141" s="271"/>
      <c r="AT141" s="271"/>
      <c r="AU141" s="271"/>
      <c r="AV141" s="271"/>
      <c r="AW141" s="271"/>
      <c r="AX141" s="271"/>
      <c r="AY141" s="271"/>
      <c r="AZ141" s="271"/>
      <c r="BA141" s="271"/>
      <c r="BB141" s="271"/>
      <c r="BC141" s="271"/>
      <c r="BD141" s="271"/>
      <c r="BE141" s="271"/>
      <c r="BF141" s="271"/>
      <c r="BG141" s="271"/>
      <c r="BH141" s="271"/>
      <c r="BI141" s="271"/>
      <c r="BJ141" s="271"/>
      <c r="BK141" s="271"/>
      <c r="BL141" s="271"/>
      <c r="BM141" s="271"/>
      <c r="BN141" s="271"/>
      <c r="BO141" s="271"/>
      <c r="BP141" s="271"/>
    </row>
    <row r="142" spans="2:68" x14ac:dyDescent="0.25">
      <c r="C142" s="88"/>
    </row>
    <row r="143" spans="2:68" x14ac:dyDescent="0.25">
      <c r="B143" s="30" t="s">
        <v>230</v>
      </c>
      <c r="C143" s="30"/>
      <c r="D143" s="30"/>
      <c r="E143" s="30"/>
      <c r="F143" s="30"/>
      <c r="G143" s="30"/>
      <c r="H143" s="30"/>
      <c r="I143" s="30"/>
      <c r="J143" s="30"/>
      <c r="K143" s="30"/>
      <c r="L143" s="30"/>
      <c r="M143" s="30"/>
      <c r="N143" s="30"/>
      <c r="O143" s="30"/>
      <c r="P143" s="30"/>
      <c r="Q143" s="30"/>
      <c r="R143" s="30"/>
      <c r="S143" s="30"/>
      <c r="T143" s="30"/>
      <c r="U143" s="30"/>
      <c r="V143" s="30"/>
      <c r="W143" s="30"/>
      <c r="X143" s="30"/>
      <c r="Y143" s="30"/>
      <c r="Z143" s="30"/>
      <c r="AA143" s="30"/>
      <c r="AB143" s="30"/>
      <c r="AC143" s="30"/>
      <c r="AD143" s="30"/>
      <c r="AE143" s="105"/>
      <c r="AF143" s="105"/>
      <c r="AG143" s="105"/>
      <c r="AH143" s="105"/>
      <c r="AI143" s="105"/>
      <c r="AJ143" s="105"/>
      <c r="AK143" s="105"/>
      <c r="AL143" s="105"/>
      <c r="AM143" s="105"/>
      <c r="AN143" s="105"/>
      <c r="AO143" s="105"/>
      <c r="AP143" s="105"/>
      <c r="AQ143" s="105"/>
      <c r="AR143" s="105"/>
      <c r="AS143" s="105"/>
      <c r="AT143" s="105"/>
      <c r="AU143" s="105"/>
      <c r="AV143" s="105"/>
      <c r="AW143" s="105"/>
      <c r="AX143" s="105"/>
      <c r="AY143" s="105"/>
      <c r="AZ143" s="105"/>
      <c r="BA143" s="105"/>
      <c r="BB143" s="105"/>
      <c r="BC143" s="105"/>
      <c r="BD143" s="105"/>
      <c r="BE143" s="105"/>
      <c r="BF143" s="105"/>
      <c r="BG143" s="105"/>
      <c r="BH143" s="105"/>
      <c r="BI143" s="105"/>
      <c r="BJ143" s="105"/>
      <c r="BK143" s="105"/>
      <c r="BL143" s="105"/>
      <c r="BM143" s="105"/>
      <c r="BN143" s="105"/>
      <c r="BO143" s="105"/>
      <c r="BP143" s="105"/>
    </row>
    <row r="145" spans="4:28" x14ac:dyDescent="0.25">
      <c r="E145" t="s">
        <v>802</v>
      </c>
      <c r="G145" s="6" t="s">
        <v>54</v>
      </c>
      <c r="H145" s="187">
        <f>IF(IFERROR(J122, 1) &gt; IFERROR(J121, 0), 0, 1)</f>
        <v>0</v>
      </c>
    </row>
    <row r="147" spans="4:28" x14ac:dyDescent="0.25">
      <c r="E147" t="s">
        <v>231</v>
      </c>
      <c r="G147" s="6" t="s">
        <v>54</v>
      </c>
      <c r="H147" s="187">
        <f t="array" ref="H147">SUM(IF(ISERROR(H20:BN142), 1))</f>
        <v>0</v>
      </c>
    </row>
    <row r="149" spans="4:28" x14ac:dyDescent="0.25">
      <c r="D149"/>
      <c r="E149" s="32" t="s">
        <v>1013</v>
      </c>
      <c r="F149" s="2"/>
    </row>
    <row r="150" spans="4:28" x14ac:dyDescent="0.25">
      <c r="D150"/>
      <c r="E150" s="88"/>
      <c r="F150" s="23" t="s">
        <v>155</v>
      </c>
      <c r="G150" s="23" t="s">
        <v>276</v>
      </c>
      <c r="H150" s="23"/>
      <c r="I150" s="23"/>
      <c r="J150" s="126">
        <f t="shared" ref="J150:AB150" si="303">(J139) * J29 * ten</f>
        <v>8540280.1565784942</v>
      </c>
      <c r="K150" s="126">
        <f t="shared" si="303"/>
        <v>15228.575082835225</v>
      </c>
      <c r="L150" s="126">
        <f t="shared" si="303"/>
        <v>2167724.1328072222</v>
      </c>
      <c r="M150" s="126">
        <f t="shared" si="303"/>
        <v>47859.972774848466</v>
      </c>
      <c r="N150" s="126">
        <f t="shared" si="303"/>
        <v>3235697.1947682439</v>
      </c>
      <c r="O150" s="126">
        <f t="shared" si="303"/>
        <v>263953.88396721054</v>
      </c>
      <c r="P150" s="126">
        <f t="shared" si="303"/>
        <v>3743139.5644383673</v>
      </c>
      <c r="Q150" s="126">
        <f t="shared" ref="Q150:S150" si="304">(Q139) * Q29 * ten</f>
        <v>0</v>
      </c>
      <c r="R150" s="126">
        <f t="shared" si="304"/>
        <v>0</v>
      </c>
      <c r="S150" s="126">
        <f t="shared" si="304"/>
        <v>0</v>
      </c>
      <c r="T150" s="126">
        <f t="shared" si="303"/>
        <v>159091.65888083083</v>
      </c>
      <c r="U150" s="126">
        <f t="shared" si="303"/>
        <v>0</v>
      </c>
      <c r="V150" s="126">
        <f t="shared" si="303"/>
        <v>0</v>
      </c>
      <c r="W150" s="126">
        <f t="shared" si="303"/>
        <v>0</v>
      </c>
      <c r="X150" s="126">
        <f t="shared" si="303"/>
        <v>0</v>
      </c>
      <c r="Y150" s="126">
        <f t="shared" si="303"/>
        <v>0</v>
      </c>
      <c r="Z150" s="126">
        <f t="shared" si="303"/>
        <v>0</v>
      </c>
      <c r="AA150" s="126">
        <f t="shared" si="303"/>
        <v>0</v>
      </c>
      <c r="AB150" s="126">
        <f t="shared" si="303"/>
        <v>0</v>
      </c>
    </row>
    <row r="151" spans="4:28" x14ac:dyDescent="0.25">
      <c r="D151"/>
      <c r="E151" s="88"/>
      <c r="F151" t="s">
        <v>156</v>
      </c>
      <c r="G151" t="s">
        <v>276</v>
      </c>
      <c r="J151" s="98">
        <f t="shared" ref="J151:AB151" si="305">(J140) * J30 * ten</f>
        <v>30342041.308751561</v>
      </c>
      <c r="K151" s="98">
        <f t="shared" si="305"/>
        <v>275707.4348692444</v>
      </c>
      <c r="L151" s="98">
        <f t="shared" si="305"/>
        <v>11742041.039994903</v>
      </c>
      <c r="M151" s="98">
        <f t="shared" si="305"/>
        <v>290440.20187777048</v>
      </c>
      <c r="N151" s="98">
        <f t="shared" si="305"/>
        <v>15487362.43662948</v>
      </c>
      <c r="O151" s="98">
        <f t="shared" si="305"/>
        <v>1233152.9572262808</v>
      </c>
      <c r="P151" s="98">
        <f t="shared" si="305"/>
        <v>17370998.595985364</v>
      </c>
      <c r="Q151" s="98">
        <f t="shared" ref="Q151:S151" si="306">(Q140) * Q30 * ten</f>
        <v>0</v>
      </c>
      <c r="R151" s="98">
        <f t="shared" si="306"/>
        <v>0</v>
      </c>
      <c r="S151" s="98">
        <f t="shared" si="306"/>
        <v>0</v>
      </c>
      <c r="T151" s="98">
        <f t="shared" si="305"/>
        <v>606616.48902709619</v>
      </c>
      <c r="U151" s="98">
        <f t="shared" si="305"/>
        <v>0</v>
      </c>
      <c r="V151" s="98">
        <f t="shared" si="305"/>
        <v>0</v>
      </c>
      <c r="W151" s="98">
        <f t="shared" si="305"/>
        <v>0</v>
      </c>
      <c r="X151" s="98">
        <f t="shared" si="305"/>
        <v>0</v>
      </c>
      <c r="Y151" s="98">
        <f t="shared" si="305"/>
        <v>0</v>
      </c>
      <c r="Z151" s="98">
        <f t="shared" si="305"/>
        <v>0</v>
      </c>
      <c r="AA151" s="98">
        <f t="shared" si="305"/>
        <v>0</v>
      </c>
      <c r="AB151" s="98">
        <f t="shared" si="305"/>
        <v>0</v>
      </c>
    </row>
    <row r="152" spans="4:28" x14ac:dyDescent="0.25">
      <c r="D152"/>
      <c r="E152" s="88"/>
      <c r="F152" t="s">
        <v>157</v>
      </c>
      <c r="G152" t="s">
        <v>276</v>
      </c>
      <c r="J152" s="98">
        <f t="shared" ref="J152:AB152" si="307">(J141) * J31 * ten</f>
        <v>27943401.376719814</v>
      </c>
      <c r="K152" s="98">
        <f t="shared" si="307"/>
        <v>2816315.7064569062</v>
      </c>
      <c r="L152" s="98">
        <f t="shared" si="307"/>
        <v>11341591.479188323</v>
      </c>
      <c r="M152" s="98">
        <f t="shared" si="307"/>
        <v>602931.50768867217</v>
      </c>
      <c r="N152" s="98">
        <f t="shared" si="307"/>
        <v>13524724.866216313</v>
      </c>
      <c r="O152" s="98">
        <f t="shared" si="307"/>
        <v>1219555.4965935899</v>
      </c>
      <c r="P152" s="98">
        <f t="shared" si="307"/>
        <v>18598130.756221086</v>
      </c>
      <c r="Q152" s="98">
        <f t="shared" ref="Q152:S152" si="308">(Q141) * Q31 * ten</f>
        <v>0</v>
      </c>
      <c r="R152" s="98">
        <f t="shared" si="308"/>
        <v>0</v>
      </c>
      <c r="S152" s="98">
        <f t="shared" si="308"/>
        <v>0</v>
      </c>
      <c r="T152" s="98">
        <f t="shared" si="307"/>
        <v>2172891.3200384933</v>
      </c>
      <c r="U152" s="98">
        <f t="shared" si="307"/>
        <v>0</v>
      </c>
      <c r="V152" s="98">
        <f t="shared" si="307"/>
        <v>0</v>
      </c>
      <c r="W152" s="98">
        <f t="shared" si="307"/>
        <v>0</v>
      </c>
      <c r="X152" s="98">
        <f t="shared" si="307"/>
        <v>0</v>
      </c>
      <c r="Y152" s="98">
        <f t="shared" si="307"/>
        <v>0</v>
      </c>
      <c r="Z152" s="98">
        <f t="shared" si="307"/>
        <v>0</v>
      </c>
      <c r="AA152" s="98">
        <f t="shared" si="307"/>
        <v>0</v>
      </c>
      <c r="AB152" s="98">
        <f t="shared" si="307"/>
        <v>0</v>
      </c>
    </row>
    <row r="153" spans="4:28" x14ac:dyDescent="0.25">
      <c r="D153"/>
      <c r="E153" s="88"/>
      <c r="F153" t="s">
        <v>158</v>
      </c>
      <c r="G153" t="s">
        <v>276</v>
      </c>
      <c r="J153" s="98">
        <f t="shared" ref="J153:AB153" si="309">(J142) * J32 * ten</f>
        <v>0</v>
      </c>
      <c r="K153" s="98">
        <f t="shared" si="309"/>
        <v>0</v>
      </c>
      <c r="L153" s="98">
        <f t="shared" si="309"/>
        <v>0</v>
      </c>
      <c r="M153" s="98">
        <f t="shared" si="309"/>
        <v>0</v>
      </c>
      <c r="N153" s="98">
        <f t="shared" si="309"/>
        <v>0</v>
      </c>
      <c r="O153" s="98">
        <f t="shared" si="309"/>
        <v>0</v>
      </c>
      <c r="P153" s="98">
        <f t="shared" si="309"/>
        <v>0</v>
      </c>
      <c r="Q153" s="98">
        <f t="shared" ref="Q153:S153" si="310">(Q142) * Q32 * ten</f>
        <v>0</v>
      </c>
      <c r="R153" s="98">
        <f t="shared" si="310"/>
        <v>0</v>
      </c>
      <c r="S153" s="98">
        <f t="shared" si="310"/>
        <v>0</v>
      </c>
      <c r="T153" s="98">
        <f t="shared" si="309"/>
        <v>0</v>
      </c>
      <c r="U153" s="98">
        <f t="shared" si="309"/>
        <v>0</v>
      </c>
      <c r="V153" s="98">
        <f t="shared" si="309"/>
        <v>0</v>
      </c>
      <c r="W153" s="98">
        <f t="shared" si="309"/>
        <v>0</v>
      </c>
      <c r="X153" s="98">
        <f t="shared" si="309"/>
        <v>0</v>
      </c>
      <c r="Y153" s="98">
        <f t="shared" si="309"/>
        <v>0</v>
      </c>
      <c r="Z153" s="98">
        <f t="shared" si="309"/>
        <v>0</v>
      </c>
      <c r="AA153" s="98">
        <f t="shared" si="309"/>
        <v>0</v>
      </c>
      <c r="AB153" s="98">
        <f t="shared" si="309"/>
        <v>0</v>
      </c>
    </row>
    <row r="154" spans="4:28" x14ac:dyDescent="0.25">
      <c r="D154"/>
      <c r="E154" s="88"/>
      <c r="F154" t="s">
        <v>159</v>
      </c>
      <c r="G154" t="s">
        <v>276</v>
      </c>
      <c r="J154" s="98">
        <f t="shared" ref="J154:AB154" si="311">(J143) * J33 * ten</f>
        <v>0</v>
      </c>
      <c r="K154" s="98">
        <f t="shared" si="311"/>
        <v>0</v>
      </c>
      <c r="L154" s="98">
        <f t="shared" si="311"/>
        <v>0</v>
      </c>
      <c r="M154" s="98">
        <f t="shared" si="311"/>
        <v>0</v>
      </c>
      <c r="N154" s="98">
        <f t="shared" si="311"/>
        <v>0</v>
      </c>
      <c r="O154" s="98">
        <f t="shared" si="311"/>
        <v>0</v>
      </c>
      <c r="P154" s="98">
        <f t="shared" si="311"/>
        <v>0</v>
      </c>
      <c r="Q154" s="98">
        <f t="shared" ref="Q154:S154" si="312">(Q143) * Q33 * ten</f>
        <v>0</v>
      </c>
      <c r="R154" s="98">
        <f t="shared" si="312"/>
        <v>0</v>
      </c>
      <c r="S154" s="98">
        <f t="shared" si="312"/>
        <v>0</v>
      </c>
      <c r="T154" s="98">
        <f t="shared" si="311"/>
        <v>0</v>
      </c>
      <c r="U154" s="98">
        <f t="shared" si="311"/>
        <v>0</v>
      </c>
      <c r="V154" s="98">
        <f t="shared" si="311"/>
        <v>0</v>
      </c>
      <c r="W154" s="98">
        <f t="shared" si="311"/>
        <v>0</v>
      </c>
      <c r="X154" s="98">
        <f t="shared" si="311"/>
        <v>0</v>
      </c>
      <c r="Y154" s="98">
        <f t="shared" si="311"/>
        <v>0</v>
      </c>
      <c r="Z154" s="98">
        <f t="shared" si="311"/>
        <v>0</v>
      </c>
      <c r="AA154" s="98">
        <f t="shared" si="311"/>
        <v>0</v>
      </c>
      <c r="AB154" s="98">
        <f t="shared" si="311"/>
        <v>0</v>
      </c>
    </row>
    <row r="155" spans="4:28" x14ac:dyDescent="0.25">
      <c r="D155"/>
      <c r="E155" s="88"/>
      <c r="F155" t="s">
        <v>160</v>
      </c>
      <c r="G155" t="s">
        <v>276</v>
      </c>
      <c r="J155" s="98">
        <f t="shared" ref="J155:AB155" si="313">(J144) * J34 * ten</f>
        <v>0</v>
      </c>
      <c r="K155" s="98">
        <f t="shared" si="313"/>
        <v>0</v>
      </c>
      <c r="L155" s="98">
        <f t="shared" si="313"/>
        <v>0</v>
      </c>
      <c r="M155" s="98">
        <f t="shared" si="313"/>
        <v>0</v>
      </c>
      <c r="N155" s="98">
        <f t="shared" si="313"/>
        <v>0</v>
      </c>
      <c r="O155" s="98">
        <f t="shared" si="313"/>
        <v>0</v>
      </c>
      <c r="P155" s="98">
        <f t="shared" si="313"/>
        <v>0</v>
      </c>
      <c r="Q155" s="98">
        <f t="shared" ref="Q155:S155" si="314">(Q144) * Q34 * ten</f>
        <v>0</v>
      </c>
      <c r="R155" s="98">
        <f t="shared" si="314"/>
        <v>0</v>
      </c>
      <c r="S155" s="98">
        <f t="shared" si="314"/>
        <v>0</v>
      </c>
      <c r="T155" s="98">
        <f t="shared" si="313"/>
        <v>0</v>
      </c>
      <c r="U155" s="98">
        <f t="shared" si="313"/>
        <v>0</v>
      </c>
      <c r="V155" s="98">
        <f t="shared" si="313"/>
        <v>0</v>
      </c>
      <c r="W155" s="98">
        <f t="shared" si="313"/>
        <v>0</v>
      </c>
      <c r="X155" s="98">
        <f t="shared" si="313"/>
        <v>0</v>
      </c>
      <c r="Y155" s="98">
        <f t="shared" si="313"/>
        <v>0</v>
      </c>
      <c r="Z155" s="98">
        <f t="shared" si="313"/>
        <v>0</v>
      </c>
      <c r="AA155" s="98">
        <f t="shared" si="313"/>
        <v>0</v>
      </c>
      <c r="AB155" s="98">
        <f t="shared" si="313"/>
        <v>0</v>
      </c>
    </row>
    <row r="156" spans="4:28" x14ac:dyDescent="0.25">
      <c r="D156"/>
      <c r="E156" s="88"/>
      <c r="F156" s="37" t="s">
        <v>161</v>
      </c>
      <c r="G156" s="37" t="s">
        <v>276</v>
      </c>
      <c r="H156" s="37"/>
      <c r="I156" s="37"/>
      <c r="J156" s="100">
        <f t="shared" ref="J156:AB156" si="315">(J145) * J35 * ten</f>
        <v>0</v>
      </c>
      <c r="K156" s="100">
        <f t="shared" si="315"/>
        <v>0</v>
      </c>
      <c r="L156" s="100">
        <f t="shared" si="315"/>
        <v>0</v>
      </c>
      <c r="M156" s="100">
        <f t="shared" si="315"/>
        <v>0</v>
      </c>
      <c r="N156" s="100">
        <f t="shared" si="315"/>
        <v>0</v>
      </c>
      <c r="O156" s="100">
        <f t="shared" si="315"/>
        <v>0</v>
      </c>
      <c r="P156" s="100">
        <f t="shared" si="315"/>
        <v>0</v>
      </c>
      <c r="Q156" s="100">
        <f t="shared" ref="Q156:S156" si="316">(Q145) * Q35 * ten</f>
        <v>0</v>
      </c>
      <c r="R156" s="100">
        <f t="shared" si="316"/>
        <v>0</v>
      </c>
      <c r="S156" s="100">
        <f t="shared" si="316"/>
        <v>0</v>
      </c>
      <c r="T156" s="100">
        <f t="shared" si="315"/>
        <v>0</v>
      </c>
      <c r="U156" s="100">
        <f t="shared" si="315"/>
        <v>0</v>
      </c>
      <c r="V156" s="100">
        <f t="shared" si="315"/>
        <v>0</v>
      </c>
      <c r="W156" s="100">
        <f t="shared" si="315"/>
        <v>0</v>
      </c>
      <c r="X156" s="100">
        <f t="shared" si="315"/>
        <v>0</v>
      </c>
      <c r="Y156" s="100">
        <f t="shared" si="315"/>
        <v>0</v>
      </c>
      <c r="Z156" s="100">
        <f t="shared" si="315"/>
        <v>0</v>
      </c>
      <c r="AA156" s="100">
        <f t="shared" si="315"/>
        <v>0</v>
      </c>
      <c r="AB156" s="100">
        <f t="shared" si="315"/>
        <v>0</v>
      </c>
    </row>
    <row r="158" spans="4:28" x14ac:dyDescent="0.25">
      <c r="E158" t="s">
        <v>1014</v>
      </c>
      <c r="G158" t="s">
        <v>276</v>
      </c>
      <c r="H158" s="89">
        <f>SUM(J150:AB156)</f>
        <v>173740878.11278296</v>
      </c>
    </row>
    <row r="160" spans="4:28" x14ac:dyDescent="0.25">
      <c r="E160" t="s">
        <v>803</v>
      </c>
      <c r="G160" t="s">
        <v>54</v>
      </c>
      <c r="H160" s="187">
        <f>IF(ABS(IFERROR(H158, 0) - H60) &lt; 10^-check_decimals, 0, 1)</f>
        <v>0</v>
      </c>
    </row>
    <row r="162" spans="2:68" x14ac:dyDescent="0.25">
      <c r="E162" t="s">
        <v>804</v>
      </c>
      <c r="G162" s="6" t="s">
        <v>54</v>
      </c>
      <c r="H162" s="103">
        <f>H145 + H147 + H160</f>
        <v>0</v>
      </c>
    </row>
    <row r="164" spans="2:68" x14ac:dyDescent="0.25">
      <c r="B164" s="30" t="s">
        <v>105</v>
      </c>
      <c r="C164" s="30"/>
      <c r="D164" s="30"/>
      <c r="E164" s="30"/>
      <c r="F164" s="30"/>
      <c r="G164" s="30"/>
      <c r="H164" s="30"/>
      <c r="I164" s="30"/>
      <c r="J164" s="30"/>
      <c r="K164" s="30"/>
      <c r="L164" s="30"/>
      <c r="M164" s="30"/>
      <c r="N164" s="30"/>
      <c r="O164" s="30"/>
      <c r="P164" s="30"/>
      <c r="Q164" s="30"/>
      <c r="R164" s="30"/>
      <c r="S164" s="30"/>
      <c r="T164" s="30"/>
      <c r="U164" s="30"/>
      <c r="V164" s="30"/>
      <c r="W164" s="30"/>
      <c r="X164" s="30"/>
      <c r="Y164" s="30"/>
      <c r="Z164" s="30"/>
      <c r="AA164" s="30"/>
      <c r="AB164" s="30"/>
      <c r="AC164" s="30"/>
      <c r="AD164" s="30"/>
      <c r="AE164" s="105"/>
      <c r="AF164" s="105"/>
      <c r="AG164" s="105"/>
      <c r="AH164" s="105"/>
      <c r="AI164" s="105"/>
      <c r="AJ164" s="105"/>
      <c r="AK164" s="105"/>
      <c r="AL164" s="105"/>
      <c r="AM164" s="105"/>
      <c r="AN164" s="105"/>
      <c r="AO164" s="105"/>
      <c r="AP164" s="105"/>
      <c r="AQ164" s="105"/>
      <c r="AR164" s="105"/>
      <c r="AS164" s="105"/>
      <c r="AT164" s="105"/>
      <c r="AU164" s="105"/>
      <c r="AV164" s="105"/>
      <c r="AW164" s="105"/>
      <c r="AX164" s="105"/>
      <c r="AY164" s="105"/>
      <c r="AZ164" s="105"/>
      <c r="BA164" s="105"/>
      <c r="BB164" s="105"/>
      <c r="BC164" s="105"/>
      <c r="BD164" s="105"/>
      <c r="BE164" s="105"/>
      <c r="BF164" s="105"/>
      <c r="BG164" s="105"/>
      <c r="BH164" s="105"/>
      <c r="BI164" s="105"/>
      <c r="BJ164" s="105"/>
      <c r="BK164" s="105"/>
      <c r="BL164" s="105"/>
      <c r="BM164" s="105"/>
      <c r="BN164" s="105"/>
      <c r="BO164" s="105"/>
      <c r="BP164" s="105"/>
    </row>
  </sheetData>
  <sheetProtection sheet="1" objects="1" formatCells="0" formatColumns="0" formatRows="0" sort="0" autoFilter="0"/>
  <conditionalFormatting sqref="H147">
    <cfRule type="cellIs" dxfId="41" priority="15" operator="greaterThan">
      <formula>0</formula>
    </cfRule>
  </conditionalFormatting>
  <conditionalFormatting sqref="H160">
    <cfRule type="cellIs" dxfId="40" priority="14" operator="greaterThan">
      <formula>0</formula>
    </cfRule>
  </conditionalFormatting>
  <conditionalFormatting sqref="H162">
    <cfRule type="cellIs" dxfId="39" priority="13" operator="greaterThan">
      <formula>0</formula>
    </cfRule>
  </conditionalFormatting>
  <conditionalFormatting sqref="H145">
    <cfRule type="cellIs" dxfId="38" priority="12" operator="greaterThan">
      <formula>0</formula>
    </cfRule>
  </conditionalFormatting>
  <conditionalFormatting sqref="A4:I4 AC4:AI4 AM4:BB4 BF4:XFD4">
    <cfRule type="expression" dxfId="37" priority="11">
      <formula>LEFT($A$4,1) &lt;&gt; "0"</formula>
    </cfRule>
  </conditionalFormatting>
  <conditionalFormatting sqref="N4:S4">
    <cfRule type="expression" dxfId="36" priority="10">
      <formula>LEFT($A$4,1) &lt;&gt; "0"</formula>
    </cfRule>
  </conditionalFormatting>
  <conditionalFormatting sqref="L4:M4">
    <cfRule type="expression" dxfId="35" priority="9">
      <formula>LEFT($A$4,1) &lt;&gt; "0"</formula>
    </cfRule>
  </conditionalFormatting>
  <conditionalFormatting sqref="J4:K4">
    <cfRule type="expression" dxfId="34" priority="8">
      <formula>LEFT($A$4,1) &lt;&gt; "0"</formula>
    </cfRule>
  </conditionalFormatting>
  <conditionalFormatting sqref="T4">
    <cfRule type="expression" dxfId="33" priority="7">
      <formula>LEFT($A$4,1) &lt;&gt; "0"</formula>
    </cfRule>
  </conditionalFormatting>
  <conditionalFormatting sqref="U4:V4">
    <cfRule type="expression" dxfId="32" priority="6">
      <formula>LEFT($A$4,1) &lt;&gt; "0"</formula>
    </cfRule>
  </conditionalFormatting>
  <conditionalFormatting sqref="W4:X4">
    <cfRule type="expression" dxfId="31" priority="5">
      <formula>LEFT($A$4,1) &lt;&gt; "0"</formula>
    </cfRule>
  </conditionalFormatting>
  <conditionalFormatting sqref="Y4:Z4">
    <cfRule type="expression" dxfId="30" priority="4">
      <formula>LEFT($A$4,1) &lt;&gt; "0"</formula>
    </cfRule>
  </conditionalFormatting>
  <conditionalFormatting sqref="AA4:AB4">
    <cfRule type="expression" dxfId="29" priority="3">
      <formula>LEFT($A$4,1) &lt;&gt; "0"</formula>
    </cfRule>
  </conditionalFormatting>
  <conditionalFormatting sqref="AJ4:AL4">
    <cfRule type="expression" dxfId="28" priority="2">
      <formula>LEFT($A$4,1) &lt;&gt; "0"</formula>
    </cfRule>
  </conditionalFormatting>
  <conditionalFormatting sqref="BC4:BE4">
    <cfRule type="expression" dxfId="27" priority="1">
      <formula>LEFT($A$4,1) &lt;&gt; "0"</formula>
    </cfRule>
  </conditionalFormatting>
  <hyperlinks>
    <hyperlink ref="B5:F5" location="'Model map'!A1" display="Click here to return to model map" xr:uid="{00000000-0004-0000-1700-000000000000}"/>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5">
    <tabColor theme="4" tint="0.59999389629810485"/>
    <pageSetUpPr fitToPage="1"/>
  </sheetPr>
  <dimension ref="A1:KR76"/>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8" width="17" customWidth="1"/>
    <col min="29" max="29" width="2.42578125" customWidth="1"/>
    <col min="30" max="30" width="50.5703125" customWidth="1"/>
    <col min="31" max="31" width="2.42578125" customWidth="1"/>
    <col min="32" max="32" width="24.5703125" hidden="1" customWidth="1"/>
    <col min="33" max="33" width="3.5703125" hidden="1" customWidth="1"/>
    <col min="34" max="34" width="15.42578125" hidden="1" customWidth="1"/>
    <col min="35" max="304" width="24.5703125" hidden="1" customWidth="1"/>
    <col min="305" max="16384" width="8.5703125" hidden="1"/>
  </cols>
  <sheetData>
    <row r="1" spans="1:30" s="1" customFormat="1" x14ac:dyDescent="0.25">
      <c r="A1" s="1" t="str">
        <f ca="1">MID(CELL("filename",A1),FIND("]",CELL("filename",A1))+1,255)</f>
        <v>Fixed charge adder</v>
      </c>
    </row>
    <row r="2" spans="1:30" s="1" customFormat="1" x14ac:dyDescent="0.25">
      <c r="A2" s="1" t="str">
        <f>Cover!D21&amp;" - "&amp;Cover!D23</f>
        <v>SP Distribution - Two</v>
      </c>
    </row>
    <row r="3" spans="1:30" s="5" customFormat="1" x14ac:dyDescent="0.25">
      <c r="A3" s="5" t="str">
        <f>Cover!D2&amp;" - "&amp;Cover!D8&amp;" v"&amp;Cover!D10&amp;" - "&amp;Cover!D19</f>
        <v>CDCM charging model - Release for charge setting v6 - 2021/22</v>
      </c>
    </row>
    <row r="4" spans="1:30" x14ac:dyDescent="0.25">
      <c r="A4" s="12" t="str">
        <f>H66 &amp; IF(H66 = 1, " issue", " issues") &amp;" identified in checks on this sheet"</f>
        <v>0 issues identified in checks on this sheet</v>
      </c>
      <c r="B4" s="13"/>
      <c r="C4" s="13"/>
      <c r="D4" s="13"/>
      <c r="E4" s="13"/>
      <c r="F4" s="13"/>
      <c r="G4" s="13"/>
      <c r="H4" s="14"/>
      <c r="I4" s="14"/>
      <c r="J4" s="13"/>
    </row>
    <row r="5" spans="1:30" ht="60" x14ac:dyDescent="0.25">
      <c r="B5" s="59" t="s">
        <v>141</v>
      </c>
      <c r="C5" s="60"/>
      <c r="D5" s="60"/>
      <c r="E5" s="60"/>
      <c r="F5" s="60"/>
      <c r="G5" s="61" t="s">
        <v>142</v>
      </c>
      <c r="H5" s="62" t="s">
        <v>143</v>
      </c>
      <c r="J5" s="62" t="s">
        <v>893</v>
      </c>
      <c r="K5" s="62" t="s">
        <v>895</v>
      </c>
      <c r="L5" s="62" t="s">
        <v>894</v>
      </c>
      <c r="M5" s="62" t="s">
        <v>896</v>
      </c>
      <c r="N5" s="62" t="s">
        <v>902</v>
      </c>
      <c r="O5" s="62" t="s">
        <v>903</v>
      </c>
      <c r="P5" s="62" t="s">
        <v>904</v>
      </c>
      <c r="Q5" s="62" t="s">
        <v>1027</v>
      </c>
      <c r="R5" s="62" t="s">
        <v>1028</v>
      </c>
      <c r="S5" s="62" t="s">
        <v>1029</v>
      </c>
      <c r="T5" s="62" t="s">
        <v>905</v>
      </c>
      <c r="U5" s="62" t="s">
        <v>897</v>
      </c>
      <c r="V5" s="62" t="s">
        <v>898</v>
      </c>
      <c r="W5" s="62" t="s">
        <v>899</v>
      </c>
      <c r="X5" s="62" t="s">
        <v>908</v>
      </c>
      <c r="Y5" s="62" t="s">
        <v>900</v>
      </c>
      <c r="Z5" s="62" t="s">
        <v>907</v>
      </c>
      <c r="AA5" s="62" t="s">
        <v>901</v>
      </c>
      <c r="AB5" s="62" t="s">
        <v>906</v>
      </c>
      <c r="AD5" s="61" t="s">
        <v>144</v>
      </c>
    </row>
    <row r="7" spans="1:30" x14ac:dyDescent="0.25">
      <c r="B7" s="30" t="s">
        <v>9</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row>
    <row r="9" spans="1:30" x14ac:dyDescent="0.25">
      <c r="C9" s="29" t="s">
        <v>979</v>
      </c>
      <c r="E9"/>
    </row>
    <row r="10" spans="1:30" x14ac:dyDescent="0.25">
      <c r="C10" s="29" t="s">
        <v>980</v>
      </c>
      <c r="E10"/>
    </row>
    <row r="12" spans="1:30" x14ac:dyDescent="0.25">
      <c r="B12" s="30" t="s">
        <v>981</v>
      </c>
      <c r="C12" s="30"/>
      <c r="D12" s="30"/>
      <c r="E12" s="30"/>
      <c r="F12" s="30"/>
      <c r="G12" s="30"/>
      <c r="H12" s="30"/>
      <c r="I12" s="30"/>
      <c r="J12" s="30"/>
      <c r="K12" s="30"/>
      <c r="L12" s="30"/>
      <c r="M12" s="30"/>
      <c r="N12" s="30"/>
      <c r="O12" s="30"/>
      <c r="P12" s="30"/>
      <c r="Q12" s="30"/>
      <c r="R12" s="30"/>
      <c r="S12" s="30"/>
      <c r="T12" s="30"/>
      <c r="U12" s="30"/>
      <c r="V12" s="30"/>
      <c r="W12" s="30"/>
      <c r="X12" s="30"/>
      <c r="Y12" s="30"/>
      <c r="Z12" s="30"/>
      <c r="AA12" s="30"/>
      <c r="AB12" s="30"/>
      <c r="AC12" s="30"/>
      <c r="AD12" s="30"/>
    </row>
    <row r="14" spans="1:30" x14ac:dyDescent="0.25">
      <c r="C14" s="29" t="s">
        <v>982</v>
      </c>
    </row>
    <row r="16" spans="1:30" x14ac:dyDescent="0.25">
      <c r="C16" s="31" t="str">
        <f ca="1">INDEX('Version control'!$H$34:$H$58,MATCH($A$1,'Version control'!$F$34:$F$58,0),1)&amp;"-A: Inputs for fixed tariff adjustments"</f>
        <v>Section 116-A: Inputs for fixed tariff adjustments</v>
      </c>
      <c r="D16" s="31"/>
      <c r="E16" s="31"/>
      <c r="F16" s="31"/>
      <c r="G16" s="31"/>
      <c r="H16" s="31"/>
      <c r="I16" s="31"/>
      <c r="J16" s="31"/>
      <c r="K16" s="31"/>
      <c r="L16" s="31"/>
      <c r="M16" s="31"/>
      <c r="N16" s="31"/>
      <c r="O16" s="31"/>
      <c r="P16" s="31"/>
      <c r="Q16" s="31"/>
      <c r="R16" s="31"/>
      <c r="S16" s="31"/>
      <c r="T16" s="31"/>
      <c r="U16" s="31"/>
      <c r="V16" s="31"/>
      <c r="W16" s="31"/>
      <c r="X16" s="31"/>
      <c r="Y16" s="31"/>
      <c r="Z16" s="31"/>
      <c r="AA16" s="31"/>
      <c r="AB16" s="31"/>
      <c r="AC16" s="31"/>
      <c r="AD16" s="31"/>
    </row>
    <row r="18" spans="3:30" x14ac:dyDescent="0.25">
      <c r="E18" s="88" t="s">
        <v>211</v>
      </c>
      <c r="F18" s="32"/>
    </row>
    <row r="19" spans="3:30" x14ac:dyDescent="0.25">
      <c r="E19" s="29" t="s">
        <v>983</v>
      </c>
      <c r="F19" s="2"/>
    </row>
    <row r="20" spans="3:30" x14ac:dyDescent="0.25">
      <c r="C20" s="88"/>
      <c r="F20" s="23" t="s">
        <v>446</v>
      </c>
      <c r="G20" s="23" t="s">
        <v>211</v>
      </c>
      <c r="H20" s="285"/>
      <c r="I20" s="269"/>
      <c r="J20" s="285">
        <f>'Inputs by customer type'!J24</f>
        <v>1852569</v>
      </c>
      <c r="K20" s="285">
        <f>'Inputs by customer type'!K24</f>
        <v>100059</v>
      </c>
      <c r="L20" s="285">
        <f>'Inputs by customer type'!L24</f>
        <v>125030</v>
      </c>
      <c r="M20" s="285">
        <f>'Inputs by customer type'!M24</f>
        <v>7441</v>
      </c>
      <c r="N20" s="285">
        <f>'Inputs by customer type'!N24</f>
        <v>10491</v>
      </c>
      <c r="O20" s="285">
        <f>'Inputs by customer type'!O24</f>
        <v>219</v>
      </c>
      <c r="P20" s="285">
        <f>'Inputs by customer type'!P24</f>
        <v>1257</v>
      </c>
      <c r="Q20" s="285">
        <f>'Inputs by customer type'!Q24</f>
        <v>0</v>
      </c>
      <c r="R20" s="285">
        <f>'Inputs by customer type'!R24</f>
        <v>0</v>
      </c>
      <c r="S20" s="285">
        <f>'Inputs by customer type'!S24</f>
        <v>0</v>
      </c>
      <c r="T20" s="285">
        <f>'Inputs by customer type'!T24</f>
        <v>4868</v>
      </c>
      <c r="U20" s="285">
        <f>'Inputs by customer type'!U24</f>
        <v>167</v>
      </c>
      <c r="V20" s="285">
        <f>'Inputs by customer type'!V24</f>
        <v>4</v>
      </c>
      <c r="W20" s="285">
        <f>'Inputs by customer type'!W24</f>
        <v>472</v>
      </c>
      <c r="X20" s="285">
        <f>'Inputs by customer type'!X24</f>
        <v>0</v>
      </c>
      <c r="Y20" s="285">
        <f>'Inputs by customer type'!Y24</f>
        <v>8</v>
      </c>
      <c r="Z20" s="285">
        <f>'Inputs by customer type'!Z24</f>
        <v>0</v>
      </c>
      <c r="AA20" s="285">
        <f>'Inputs by customer type'!AA24</f>
        <v>255</v>
      </c>
      <c r="AB20" s="285">
        <f>'Inputs by customer type'!AB24</f>
        <v>0</v>
      </c>
      <c r="AC20" s="271"/>
      <c r="AD20" s="271"/>
    </row>
    <row r="21" spans="3:30" x14ac:dyDescent="0.25">
      <c r="C21" s="88"/>
      <c r="F21" t="s">
        <v>447</v>
      </c>
      <c r="G21" t="s">
        <v>211</v>
      </c>
      <c r="H21" s="286"/>
      <c r="I21" s="271"/>
      <c r="J21" s="286">
        <f>'Inputs by customer type'!J33</f>
        <v>41179.93548387097</v>
      </c>
      <c r="K21" s="286">
        <f>'Inputs by customer type'!K33</f>
        <v>67</v>
      </c>
      <c r="L21" s="286">
        <f>'Inputs by customer type'!L33</f>
        <v>1036.6774193548388</v>
      </c>
      <c r="M21" s="286">
        <f>'Inputs by customer type'!M33</f>
        <v>0</v>
      </c>
      <c r="N21" s="286">
        <f>'Inputs by customer type'!N33</f>
        <v>76</v>
      </c>
      <c r="O21" s="286">
        <f>'Inputs by customer type'!O33</f>
        <v>0</v>
      </c>
      <c r="P21" s="286">
        <f>'Inputs by customer type'!P33</f>
        <v>0</v>
      </c>
      <c r="Q21" s="286">
        <f>'Inputs by customer type'!Q33</f>
        <v>0</v>
      </c>
      <c r="R21" s="286">
        <f>'Inputs by customer type'!R33</f>
        <v>0</v>
      </c>
      <c r="S21" s="286">
        <f>'Inputs by customer type'!S33</f>
        <v>0</v>
      </c>
      <c r="T21" s="286">
        <f>'Inputs by customer type'!T33</f>
        <v>34</v>
      </c>
      <c r="U21" s="286">
        <f>'Inputs by customer type'!U33</f>
        <v>3</v>
      </c>
      <c r="V21" s="286">
        <f>'Inputs by customer type'!V33</f>
        <v>0</v>
      </c>
      <c r="W21" s="286">
        <f>'Inputs by customer type'!W33</f>
        <v>0</v>
      </c>
      <c r="X21" s="286">
        <f>'Inputs by customer type'!X33</f>
        <v>0</v>
      </c>
      <c r="Y21" s="286">
        <f>'Inputs by customer type'!Y33</f>
        <v>0</v>
      </c>
      <c r="Z21" s="286">
        <f>'Inputs by customer type'!Z33</f>
        <v>0</v>
      </c>
      <c r="AA21" s="286">
        <f>'Inputs by customer type'!AA33</f>
        <v>0</v>
      </c>
      <c r="AB21" s="286">
        <f>'Inputs by customer type'!AB33</f>
        <v>0</v>
      </c>
      <c r="AC21" s="271"/>
      <c r="AD21" s="271"/>
    </row>
    <row r="22" spans="3:30" x14ac:dyDescent="0.25">
      <c r="C22" s="88"/>
      <c r="F22" t="s">
        <v>448</v>
      </c>
      <c r="G22" t="s">
        <v>211</v>
      </c>
      <c r="H22" s="286"/>
      <c r="I22" s="271"/>
      <c r="J22" s="286">
        <f>'Inputs by customer type'!J42</f>
        <v>58740.548387096773</v>
      </c>
      <c r="K22" s="286">
        <f>'Inputs by customer type'!K42</f>
        <v>78.451612903225808</v>
      </c>
      <c r="L22" s="286">
        <f>'Inputs by customer type'!L42</f>
        <v>1509.8709677419354</v>
      </c>
      <c r="M22" s="286">
        <f>'Inputs by customer type'!M42</f>
        <v>0</v>
      </c>
      <c r="N22" s="286">
        <f>'Inputs by customer type'!N42</f>
        <v>381</v>
      </c>
      <c r="O22" s="286">
        <f>'Inputs by customer type'!O42</f>
        <v>26</v>
      </c>
      <c r="P22" s="286">
        <f>'Inputs by customer type'!P42</f>
        <v>30</v>
      </c>
      <c r="Q22" s="286">
        <f>'Inputs by customer type'!Q42</f>
        <v>0</v>
      </c>
      <c r="R22" s="286">
        <f>'Inputs by customer type'!R42</f>
        <v>0</v>
      </c>
      <c r="S22" s="286">
        <f>'Inputs by customer type'!S42</f>
        <v>0</v>
      </c>
      <c r="T22" s="286">
        <f>'Inputs by customer type'!T42</f>
        <v>46</v>
      </c>
      <c r="U22" s="286">
        <f>'Inputs by customer type'!U42</f>
        <v>5</v>
      </c>
      <c r="V22" s="286">
        <f>'Inputs by customer type'!V42</f>
        <v>0</v>
      </c>
      <c r="W22" s="286">
        <f>'Inputs by customer type'!W42</f>
        <v>0</v>
      </c>
      <c r="X22" s="286">
        <f>'Inputs by customer type'!X42</f>
        <v>0</v>
      </c>
      <c r="Y22" s="286">
        <f>'Inputs by customer type'!Y42</f>
        <v>0</v>
      </c>
      <c r="Z22" s="286">
        <f>'Inputs by customer type'!Z42</f>
        <v>0</v>
      </c>
      <c r="AA22" s="286">
        <f>'Inputs by customer type'!AA42</f>
        <v>0</v>
      </c>
      <c r="AB22" s="286">
        <f>'Inputs by customer type'!AB42</f>
        <v>0</v>
      </c>
      <c r="AC22" s="271"/>
      <c r="AD22" s="271"/>
    </row>
    <row r="23" spans="3:30" x14ac:dyDescent="0.25">
      <c r="C23" s="88"/>
      <c r="F23" s="37" t="s">
        <v>984</v>
      </c>
      <c r="G23" s="37" t="s">
        <v>211</v>
      </c>
      <c r="H23" s="215"/>
      <c r="I23" s="37"/>
      <c r="J23" s="125">
        <f>'Inputs by customer type'!J47</f>
        <v>3083</v>
      </c>
      <c r="K23" s="125">
        <f>'Inputs by customer type'!K47</f>
        <v>0</v>
      </c>
      <c r="L23" s="125">
        <f>'Inputs by customer type'!L47</f>
        <v>42</v>
      </c>
      <c r="M23" s="125">
        <f>'Inputs by customer type'!M47</f>
        <v>0</v>
      </c>
      <c r="N23" s="125">
        <f>'Inputs by customer type'!N47</f>
        <v>18</v>
      </c>
      <c r="O23" s="125">
        <f>'Inputs by customer type'!O47</f>
        <v>0</v>
      </c>
      <c r="P23" s="125">
        <f>'Inputs by customer type'!P47</f>
        <v>4</v>
      </c>
      <c r="Q23" s="125">
        <f>'Inputs by customer type'!Q47</f>
        <v>0</v>
      </c>
      <c r="R23" s="125">
        <f>'Inputs by customer type'!R47</f>
        <v>0</v>
      </c>
      <c r="S23" s="125">
        <f>'Inputs by customer type'!S47</f>
        <v>0</v>
      </c>
      <c r="T23" s="125">
        <f>'Inputs by customer type'!T47</f>
        <v>0</v>
      </c>
      <c r="U23" s="125">
        <f>'Inputs by customer type'!U47</f>
        <v>0</v>
      </c>
      <c r="V23" s="125">
        <f>'Inputs by customer type'!V47</f>
        <v>0</v>
      </c>
      <c r="W23" s="125">
        <f>'Inputs by customer type'!W47</f>
        <v>0</v>
      </c>
      <c r="X23" s="125">
        <f>'Inputs by customer type'!X47</f>
        <v>0</v>
      </c>
      <c r="Y23" s="125">
        <f>'Inputs by customer type'!Y47</f>
        <v>0</v>
      </c>
      <c r="Z23" s="125">
        <f>'Inputs by customer type'!Z47</f>
        <v>0</v>
      </c>
      <c r="AA23" s="125">
        <f>'Inputs by customer type'!AA47</f>
        <v>0</v>
      </c>
      <c r="AB23" s="125">
        <f>'Inputs by customer type'!AB47</f>
        <v>0</v>
      </c>
    </row>
    <row r="24" spans="3:30" x14ac:dyDescent="0.25">
      <c r="C24" s="88"/>
      <c r="E24"/>
      <c r="J24" s="89"/>
      <c r="K24" s="89"/>
      <c r="L24" s="89"/>
      <c r="M24" s="89"/>
      <c r="N24" s="89"/>
      <c r="O24" s="89"/>
      <c r="P24" s="89"/>
      <c r="Q24" s="89"/>
      <c r="R24" s="89"/>
      <c r="S24" s="89"/>
      <c r="T24" s="89"/>
      <c r="U24" s="89"/>
      <c r="V24" s="89"/>
      <c r="W24" s="89"/>
      <c r="X24" s="89"/>
      <c r="Y24" s="89"/>
      <c r="Z24" s="89"/>
      <c r="AA24" s="89"/>
      <c r="AB24" s="89"/>
    </row>
    <row r="25" spans="3:30" x14ac:dyDescent="0.25">
      <c r="C25" s="88"/>
      <c r="E25" s="32" t="s">
        <v>985</v>
      </c>
      <c r="J25" s="89"/>
      <c r="K25" s="89"/>
      <c r="L25" s="89"/>
      <c r="M25" s="89"/>
      <c r="N25" s="89"/>
      <c r="O25" s="89"/>
      <c r="P25" s="89"/>
      <c r="Q25" s="89"/>
      <c r="R25" s="89"/>
      <c r="S25" s="89"/>
      <c r="T25" s="89"/>
      <c r="U25" s="89"/>
      <c r="V25" s="89"/>
      <c r="W25" s="89"/>
      <c r="X25" s="89"/>
      <c r="Y25" s="89"/>
      <c r="Z25" s="89"/>
      <c r="AA25" s="89"/>
      <c r="AB25" s="89"/>
    </row>
    <row r="26" spans="3:30" x14ac:dyDescent="0.25">
      <c r="C26" s="88"/>
      <c r="E26"/>
      <c r="F26" s="23" t="s">
        <v>986</v>
      </c>
      <c r="G26" s="23" t="s">
        <v>175</v>
      </c>
      <c r="H26" s="23"/>
      <c r="I26" s="23"/>
      <c r="J26" s="174">
        <f>'Fixed inputs'!J158</f>
        <v>1</v>
      </c>
      <c r="K26" s="174">
        <f>'Fixed inputs'!K158</f>
        <v>0</v>
      </c>
      <c r="L26" s="174">
        <f>'Fixed inputs'!L158</f>
        <v>0</v>
      </c>
      <c r="M26" s="174">
        <f>'Fixed inputs'!M158</f>
        <v>0</v>
      </c>
      <c r="N26" s="174">
        <f>'Fixed inputs'!N158</f>
        <v>0</v>
      </c>
      <c r="O26" s="174">
        <f>'Fixed inputs'!O158</f>
        <v>0</v>
      </c>
      <c r="P26" s="174">
        <f>'Fixed inputs'!P158</f>
        <v>0</v>
      </c>
      <c r="Q26" s="174">
        <f>'Fixed inputs'!Q158</f>
        <v>0</v>
      </c>
      <c r="R26" s="174">
        <f>'Fixed inputs'!R158</f>
        <v>0</v>
      </c>
      <c r="S26" s="174">
        <f>'Fixed inputs'!S158</f>
        <v>0</v>
      </c>
      <c r="T26" s="174">
        <f>'Fixed inputs'!T158</f>
        <v>0</v>
      </c>
      <c r="U26" s="174">
        <f>'Fixed inputs'!U158</f>
        <v>0</v>
      </c>
      <c r="V26" s="174">
        <f>'Fixed inputs'!V158</f>
        <v>0</v>
      </c>
      <c r="W26" s="174">
        <f>'Fixed inputs'!W158</f>
        <v>0</v>
      </c>
      <c r="X26" s="174">
        <f>'Fixed inputs'!X158</f>
        <v>0</v>
      </c>
      <c r="Y26" s="174">
        <f>'Fixed inputs'!Y158</f>
        <v>0</v>
      </c>
      <c r="Z26" s="174">
        <f>'Fixed inputs'!Z158</f>
        <v>0</v>
      </c>
      <c r="AA26" s="174">
        <f>'Fixed inputs'!AA158</f>
        <v>0</v>
      </c>
      <c r="AB26" s="174">
        <f>'Fixed inputs'!AB158</f>
        <v>0</v>
      </c>
    </row>
    <row r="27" spans="3:30" x14ac:dyDescent="0.25">
      <c r="C27" s="88"/>
      <c r="E27"/>
      <c r="F27" s="37" t="s">
        <v>987</v>
      </c>
      <c r="G27" s="37" t="s">
        <v>175</v>
      </c>
      <c r="H27" s="37"/>
      <c r="I27" s="37"/>
      <c r="J27" s="215">
        <f>'Fixed inputs'!J159</f>
        <v>1</v>
      </c>
      <c r="K27" s="215">
        <f>'Fixed inputs'!K159</f>
        <v>0</v>
      </c>
      <c r="L27" s="215">
        <f>'Fixed inputs'!L159</f>
        <v>1</v>
      </c>
      <c r="M27" s="215">
        <f>'Fixed inputs'!M159</f>
        <v>0</v>
      </c>
      <c r="N27" s="215">
        <f>'Fixed inputs'!N159</f>
        <v>1</v>
      </c>
      <c r="O27" s="215">
        <f>'Fixed inputs'!O159</f>
        <v>1</v>
      </c>
      <c r="P27" s="215">
        <f>'Fixed inputs'!P159</f>
        <v>1</v>
      </c>
      <c r="Q27" s="215">
        <f>'Fixed inputs'!Q159</f>
        <v>1</v>
      </c>
      <c r="R27" s="215">
        <f>'Fixed inputs'!R159</f>
        <v>1</v>
      </c>
      <c r="S27" s="215">
        <f>'Fixed inputs'!S159</f>
        <v>1</v>
      </c>
      <c r="T27" s="215">
        <f>'Fixed inputs'!T159</f>
        <v>0</v>
      </c>
      <c r="U27" s="215">
        <f>'Fixed inputs'!U159</f>
        <v>0</v>
      </c>
      <c r="V27" s="215">
        <f>'Fixed inputs'!V159</f>
        <v>0</v>
      </c>
      <c r="W27" s="215">
        <f>'Fixed inputs'!W159</f>
        <v>0</v>
      </c>
      <c r="X27" s="215">
        <f>'Fixed inputs'!X159</f>
        <v>0</v>
      </c>
      <c r="Y27" s="215">
        <f>'Fixed inputs'!Y159</f>
        <v>0</v>
      </c>
      <c r="Z27" s="215">
        <f>'Fixed inputs'!Z159</f>
        <v>0</v>
      </c>
      <c r="AA27" s="215">
        <f>'Fixed inputs'!AA159</f>
        <v>0</v>
      </c>
      <c r="AB27" s="215">
        <f>'Fixed inputs'!AB159</f>
        <v>0</v>
      </c>
    </row>
    <row r="28" spans="3:30" x14ac:dyDescent="0.25">
      <c r="C28" s="88"/>
      <c r="E28"/>
      <c r="J28" s="89"/>
      <c r="K28" s="89"/>
      <c r="L28" s="89"/>
      <c r="M28" s="89"/>
      <c r="N28" s="89"/>
      <c r="O28" s="89"/>
      <c r="P28" s="89"/>
      <c r="Q28" s="89"/>
      <c r="R28" s="89"/>
      <c r="S28" s="89"/>
      <c r="T28" s="89"/>
      <c r="U28" s="89"/>
      <c r="V28" s="89"/>
      <c r="W28" s="89"/>
      <c r="X28" s="89"/>
      <c r="Y28" s="89"/>
      <c r="Z28" s="89"/>
      <c r="AA28" s="89"/>
      <c r="AB28" s="89"/>
    </row>
    <row r="29" spans="3:30" x14ac:dyDescent="0.25">
      <c r="C29" s="88"/>
      <c r="E29" s="32" t="s">
        <v>988</v>
      </c>
      <c r="J29" s="89"/>
      <c r="K29" s="89"/>
      <c r="L29" s="89"/>
      <c r="M29" s="89"/>
      <c r="N29" s="89"/>
      <c r="O29" s="89"/>
      <c r="P29" s="89"/>
      <c r="Q29" s="89"/>
      <c r="R29" s="89"/>
      <c r="S29" s="89"/>
      <c r="T29" s="89"/>
      <c r="U29" s="89"/>
      <c r="V29" s="89"/>
      <c r="W29" s="89"/>
      <c r="X29" s="89"/>
      <c r="Y29" s="89"/>
      <c r="Z29" s="89"/>
      <c r="AA29" s="89"/>
      <c r="AB29" s="89"/>
    </row>
    <row r="30" spans="3:30" x14ac:dyDescent="0.25">
      <c r="C30" s="88"/>
      <c r="E30"/>
      <c r="F30" s="23" t="s">
        <v>986</v>
      </c>
      <c r="G30" s="23" t="s">
        <v>276</v>
      </c>
      <c r="H30" s="124">
        <f>'General inputs'!H53</f>
        <v>47073.343842731156</v>
      </c>
      <c r="J30" s="120"/>
      <c r="K30" s="120"/>
      <c r="L30" s="120"/>
      <c r="M30" s="120"/>
      <c r="N30" s="120"/>
      <c r="O30" s="120"/>
      <c r="P30" s="120"/>
      <c r="Q30" s="120"/>
      <c r="R30" s="120"/>
      <c r="S30" s="120"/>
      <c r="T30" s="120"/>
      <c r="U30" s="120"/>
      <c r="V30" s="120"/>
      <c r="W30" s="120"/>
      <c r="X30" s="120"/>
      <c r="Y30" s="120"/>
      <c r="Z30" s="120"/>
      <c r="AA30" s="120"/>
      <c r="AB30" s="120"/>
    </row>
    <row r="31" spans="3:30" x14ac:dyDescent="0.25">
      <c r="C31" s="88"/>
      <c r="E31"/>
      <c r="F31" s="37" t="s">
        <v>987</v>
      </c>
      <c r="G31" s="37" t="s">
        <v>276</v>
      </c>
      <c r="H31" s="125">
        <f>'General inputs'!H54</f>
        <v>1417380.0307358583</v>
      </c>
      <c r="J31" s="120"/>
      <c r="K31" s="120"/>
      <c r="L31" s="120"/>
      <c r="M31" s="120"/>
      <c r="N31" s="120"/>
      <c r="O31" s="120"/>
      <c r="P31" s="120"/>
      <c r="Q31" s="120"/>
      <c r="R31" s="120"/>
      <c r="S31" s="120"/>
      <c r="T31" s="120"/>
      <c r="U31" s="120"/>
      <c r="V31" s="120"/>
      <c r="W31" s="120"/>
      <c r="X31" s="120"/>
      <c r="Y31" s="120"/>
      <c r="Z31" s="120"/>
      <c r="AA31" s="120"/>
      <c r="AB31" s="120"/>
    </row>
    <row r="33" spans="3:30" x14ac:dyDescent="0.25">
      <c r="C33" s="31" t="str">
        <f ca="1">INDEX('Version control'!$H$34:$H$58,MATCH($A$1,'Version control'!$F$34:$F$58,0),1)&amp;"-B: Calculation of fixed tariff adjustments"</f>
        <v>Section 116-B: Calculation of fixed tariff adjustments</v>
      </c>
      <c r="D33" s="31"/>
      <c r="E33" s="31"/>
      <c r="F33" s="31"/>
      <c r="G33" s="31"/>
      <c r="H33" s="31"/>
      <c r="I33" s="31"/>
      <c r="J33" s="31"/>
      <c r="K33" s="31"/>
      <c r="L33" s="31"/>
      <c r="M33" s="31"/>
      <c r="N33" s="31"/>
      <c r="O33" s="31"/>
      <c r="P33" s="31"/>
      <c r="Q33" s="31"/>
      <c r="R33" s="31"/>
      <c r="S33" s="31"/>
      <c r="T33" s="31"/>
      <c r="U33" s="31"/>
      <c r="V33" s="31"/>
      <c r="W33" s="31"/>
      <c r="X33" s="31"/>
      <c r="Y33" s="31"/>
      <c r="Z33" s="31"/>
      <c r="AA33" s="31"/>
      <c r="AB33" s="31"/>
      <c r="AC33" s="31"/>
      <c r="AD33" s="31"/>
    </row>
    <row r="34" spans="3:30" x14ac:dyDescent="0.25">
      <c r="C34" s="88"/>
      <c r="E34"/>
      <c r="J34" s="89"/>
      <c r="K34" s="89"/>
      <c r="L34" s="89"/>
      <c r="M34" s="89"/>
      <c r="N34" s="89"/>
      <c r="O34" s="89"/>
      <c r="P34" s="89"/>
      <c r="Q34" s="89"/>
      <c r="R34" s="89"/>
      <c r="S34" s="89"/>
      <c r="T34" s="89"/>
      <c r="U34" s="89"/>
      <c r="V34" s="89"/>
      <c r="W34" s="89"/>
      <c r="X34" s="89"/>
      <c r="Y34" s="89"/>
      <c r="Z34" s="89"/>
      <c r="AA34" s="89"/>
      <c r="AB34" s="89"/>
    </row>
    <row r="35" spans="3:30" x14ac:dyDescent="0.25">
      <c r="C35" s="88"/>
      <c r="E35" s="32" t="s">
        <v>989</v>
      </c>
      <c r="J35" s="89"/>
      <c r="K35" s="89"/>
      <c r="L35" s="89"/>
      <c r="M35" s="89"/>
      <c r="N35" s="89"/>
      <c r="O35" s="89"/>
      <c r="P35" s="89"/>
      <c r="Q35" s="89"/>
      <c r="R35" s="89"/>
      <c r="S35" s="89"/>
      <c r="T35" s="89"/>
      <c r="U35" s="89"/>
      <c r="V35" s="89"/>
      <c r="W35" s="89"/>
      <c r="X35" s="89"/>
      <c r="Y35" s="89"/>
      <c r="Z35" s="89"/>
      <c r="AA35" s="89"/>
      <c r="AB35" s="89"/>
    </row>
    <row r="36" spans="3:30" x14ac:dyDescent="0.25">
      <c r="F36" s="23" t="s">
        <v>986</v>
      </c>
      <c r="G36" s="23" t="s">
        <v>211</v>
      </c>
      <c r="H36" s="23"/>
      <c r="I36" s="23"/>
      <c r="J36" s="158">
        <f>SUM( J$20:J$23 ) * J26</f>
        <v>1955572.4838709678</v>
      </c>
      <c r="K36" s="158">
        <f t="shared" ref="K36:AB36" si="0">SUM( K$20:K$23 ) * K26</f>
        <v>0</v>
      </c>
      <c r="L36" s="158">
        <f t="shared" si="0"/>
        <v>0</v>
      </c>
      <c r="M36" s="158">
        <f t="shared" si="0"/>
        <v>0</v>
      </c>
      <c r="N36" s="158">
        <f t="shared" si="0"/>
        <v>0</v>
      </c>
      <c r="O36" s="158">
        <f t="shared" si="0"/>
        <v>0</v>
      </c>
      <c r="P36" s="158">
        <f t="shared" si="0"/>
        <v>0</v>
      </c>
      <c r="Q36" s="158">
        <f t="shared" ref="Q36:S36" si="1">SUM( Q$20:Q$23 ) * Q26</f>
        <v>0</v>
      </c>
      <c r="R36" s="158">
        <f t="shared" si="1"/>
        <v>0</v>
      </c>
      <c r="S36" s="158">
        <f t="shared" si="1"/>
        <v>0</v>
      </c>
      <c r="T36" s="158">
        <f t="shared" si="0"/>
        <v>0</v>
      </c>
      <c r="U36" s="158">
        <f t="shared" si="0"/>
        <v>0</v>
      </c>
      <c r="V36" s="158">
        <f t="shared" si="0"/>
        <v>0</v>
      </c>
      <c r="W36" s="158">
        <f t="shared" si="0"/>
        <v>0</v>
      </c>
      <c r="X36" s="158">
        <f t="shared" si="0"/>
        <v>0</v>
      </c>
      <c r="Y36" s="158">
        <f t="shared" si="0"/>
        <v>0</v>
      </c>
      <c r="Z36" s="158">
        <f t="shared" si="0"/>
        <v>0</v>
      </c>
      <c r="AA36" s="158">
        <f t="shared" si="0"/>
        <v>0</v>
      </c>
      <c r="AB36" s="158">
        <f t="shared" si="0"/>
        <v>0</v>
      </c>
    </row>
    <row r="37" spans="3:30" x14ac:dyDescent="0.25">
      <c r="F37" s="37" t="s">
        <v>987</v>
      </c>
      <c r="G37" s="37" t="s">
        <v>211</v>
      </c>
      <c r="H37" s="37"/>
      <c r="I37" s="37"/>
      <c r="J37" s="82">
        <f t="shared" ref="J37:AB37" si="2">SUM( J$20:J$23 ) * J27</f>
        <v>1955572.4838709678</v>
      </c>
      <c r="K37" s="82">
        <f t="shared" si="2"/>
        <v>0</v>
      </c>
      <c r="L37" s="82">
        <f t="shared" si="2"/>
        <v>127618.54838709677</v>
      </c>
      <c r="M37" s="82">
        <f t="shared" si="2"/>
        <v>0</v>
      </c>
      <c r="N37" s="82">
        <f t="shared" si="2"/>
        <v>10966</v>
      </c>
      <c r="O37" s="82">
        <f t="shared" si="2"/>
        <v>245</v>
      </c>
      <c r="P37" s="82">
        <f t="shared" si="2"/>
        <v>1291</v>
      </c>
      <c r="Q37" s="82">
        <f t="shared" ref="Q37:S37" si="3">SUM( Q$20:Q$23 ) * Q27</f>
        <v>0</v>
      </c>
      <c r="R37" s="82">
        <f t="shared" si="3"/>
        <v>0</v>
      </c>
      <c r="S37" s="82">
        <f t="shared" si="3"/>
        <v>0</v>
      </c>
      <c r="T37" s="82">
        <f t="shared" si="2"/>
        <v>0</v>
      </c>
      <c r="U37" s="82">
        <f t="shared" si="2"/>
        <v>0</v>
      </c>
      <c r="V37" s="82">
        <f t="shared" si="2"/>
        <v>0</v>
      </c>
      <c r="W37" s="82">
        <f t="shared" si="2"/>
        <v>0</v>
      </c>
      <c r="X37" s="82">
        <f t="shared" si="2"/>
        <v>0</v>
      </c>
      <c r="Y37" s="82">
        <f t="shared" si="2"/>
        <v>0</v>
      </c>
      <c r="Z37" s="82">
        <f t="shared" si="2"/>
        <v>0</v>
      </c>
      <c r="AA37" s="82">
        <f t="shared" si="2"/>
        <v>0</v>
      </c>
      <c r="AB37" s="82">
        <f t="shared" si="2"/>
        <v>0</v>
      </c>
    </row>
    <row r="38" spans="3:30" x14ac:dyDescent="0.25">
      <c r="C38" s="88"/>
      <c r="E38"/>
      <c r="J38" s="89"/>
      <c r="K38" s="89"/>
      <c r="L38" s="89"/>
      <c r="M38" s="89"/>
      <c r="N38" s="89"/>
      <c r="O38" s="89"/>
      <c r="P38" s="89"/>
      <c r="Q38" s="89"/>
      <c r="R38" s="89"/>
      <c r="S38" s="89"/>
      <c r="T38" s="89"/>
      <c r="U38" s="89"/>
      <c r="V38" s="89"/>
      <c r="W38" s="89"/>
      <c r="X38" s="89"/>
      <c r="Y38" s="89"/>
      <c r="Z38" s="89"/>
      <c r="AA38" s="89"/>
      <c r="AB38" s="89"/>
    </row>
    <row r="39" spans="3:30" x14ac:dyDescent="0.25">
      <c r="C39" s="88"/>
      <c r="E39" s="32" t="s">
        <v>990</v>
      </c>
      <c r="I39" t="s">
        <v>153</v>
      </c>
      <c r="J39" s="89"/>
      <c r="K39" s="89"/>
      <c r="L39" s="89"/>
      <c r="M39" s="89"/>
      <c r="N39" s="89"/>
      <c r="O39" s="89"/>
      <c r="P39" s="89"/>
      <c r="Q39" s="89"/>
      <c r="R39" s="89"/>
      <c r="S39" s="89"/>
      <c r="T39" s="89"/>
      <c r="U39" s="89"/>
      <c r="V39" s="89"/>
      <c r="W39" s="89"/>
      <c r="X39" s="89"/>
      <c r="Y39" s="89"/>
      <c r="Z39" s="89"/>
      <c r="AA39" s="89"/>
      <c r="AB39" s="89"/>
      <c r="AD39" t="s">
        <v>1026</v>
      </c>
    </row>
    <row r="40" spans="3:30" x14ac:dyDescent="0.25">
      <c r="C40" s="88"/>
      <c r="E40"/>
      <c r="F40" s="23" t="s">
        <v>986</v>
      </c>
      <c r="G40" s="23" t="s">
        <v>269</v>
      </c>
      <c r="H40" s="334">
        <f>H30 / SUM( J36:AB36 ) * hundred / days_in_year</f>
        <v>6.5949007968891344E-3</v>
      </c>
      <c r="I40" s="14"/>
      <c r="J40" s="194"/>
      <c r="K40" s="194"/>
      <c r="L40" s="194"/>
      <c r="M40" s="194"/>
      <c r="N40" s="194"/>
      <c r="O40" s="194"/>
      <c r="P40" s="194"/>
      <c r="Q40" s="194"/>
      <c r="R40" s="194"/>
      <c r="S40" s="194"/>
      <c r="T40" s="194"/>
      <c r="U40" s="194"/>
      <c r="V40" s="194"/>
      <c r="W40" s="194"/>
      <c r="X40" s="194"/>
      <c r="Y40" s="194"/>
      <c r="Z40" s="194"/>
      <c r="AA40" s="194"/>
      <c r="AB40" s="194"/>
    </row>
    <row r="41" spans="3:30" x14ac:dyDescent="0.25">
      <c r="C41" s="88"/>
      <c r="E41"/>
      <c r="F41" s="37" t="s">
        <v>987</v>
      </c>
      <c r="G41" s="37" t="s">
        <v>269</v>
      </c>
      <c r="H41" s="335">
        <f>H31 / SUM( J37:AB37 ) * hundred / days_in_year</f>
        <v>0.18529588547307707</v>
      </c>
      <c r="I41" s="14"/>
      <c r="J41" s="194"/>
      <c r="K41" s="194"/>
      <c r="L41" s="194"/>
      <c r="M41" s="194"/>
      <c r="N41" s="194"/>
      <c r="O41" s="194"/>
      <c r="P41" s="194"/>
      <c r="Q41" s="194"/>
      <c r="R41" s="194"/>
      <c r="S41" s="194"/>
      <c r="T41" s="194"/>
      <c r="U41" s="194"/>
      <c r="V41" s="194"/>
      <c r="W41" s="194"/>
      <c r="X41" s="194"/>
      <c r="Y41" s="194"/>
      <c r="Z41" s="194"/>
      <c r="AA41" s="194"/>
      <c r="AB41" s="194"/>
    </row>
    <row r="42" spans="3:30" x14ac:dyDescent="0.25">
      <c r="C42" s="88"/>
      <c r="E42"/>
      <c r="H42" s="14"/>
      <c r="I42" s="14"/>
      <c r="J42" s="163"/>
      <c r="K42" s="163"/>
      <c r="L42" s="163"/>
      <c r="M42" s="163"/>
      <c r="N42" s="163"/>
      <c r="O42" s="163"/>
      <c r="P42" s="163"/>
      <c r="Q42" s="163"/>
      <c r="R42" s="163"/>
      <c r="S42" s="163"/>
      <c r="T42" s="163"/>
      <c r="U42" s="163"/>
      <c r="V42" s="163"/>
      <c r="W42" s="163"/>
      <c r="X42" s="163"/>
      <c r="Y42" s="163"/>
      <c r="Z42" s="163"/>
      <c r="AA42" s="163"/>
      <c r="AB42" s="163"/>
    </row>
    <row r="43" spans="3:30" x14ac:dyDescent="0.25">
      <c r="C43" s="88"/>
      <c r="E43" s="32" t="s">
        <v>991</v>
      </c>
      <c r="H43" s="14"/>
      <c r="I43" s="14"/>
      <c r="J43" s="163"/>
      <c r="K43" s="163"/>
      <c r="L43" s="163"/>
      <c r="M43" s="163"/>
      <c r="N43" s="163"/>
      <c r="O43" s="163"/>
      <c r="P43" s="163"/>
      <c r="Q43" s="163"/>
      <c r="R43" s="163"/>
      <c r="S43" s="163"/>
      <c r="T43" s="163"/>
      <c r="U43" s="163"/>
      <c r="V43" s="163"/>
      <c r="W43" s="163"/>
      <c r="X43" s="163"/>
      <c r="Y43" s="163"/>
      <c r="Z43" s="163"/>
      <c r="AA43" s="163"/>
      <c r="AB43" s="163"/>
    </row>
    <row r="44" spans="3:30" x14ac:dyDescent="0.25">
      <c r="C44" s="88"/>
      <c r="E44"/>
      <c r="F44" s="23" t="s">
        <v>986</v>
      </c>
      <c r="G44" s="23" t="s">
        <v>269</v>
      </c>
      <c r="H44" s="334"/>
      <c r="I44" s="334"/>
      <c r="J44" s="334">
        <f>IF( J26 = 1, $H40, 0)</f>
        <v>6.5949007968891344E-3</v>
      </c>
      <c r="K44" s="334">
        <f t="shared" ref="K44:AB44" si="4">IF( K26 = 1, $H40, 0)</f>
        <v>0</v>
      </c>
      <c r="L44" s="334">
        <f t="shared" si="4"/>
        <v>0</v>
      </c>
      <c r="M44" s="334">
        <f t="shared" si="4"/>
        <v>0</v>
      </c>
      <c r="N44" s="334">
        <f t="shared" si="4"/>
        <v>0</v>
      </c>
      <c r="O44" s="334">
        <f t="shared" si="4"/>
        <v>0</v>
      </c>
      <c r="P44" s="334">
        <f t="shared" si="4"/>
        <v>0</v>
      </c>
      <c r="Q44" s="334">
        <f t="shared" ref="Q44:S44" si="5">IF( Q26 = 1, $H40, 0)</f>
        <v>0</v>
      </c>
      <c r="R44" s="334">
        <f t="shared" si="5"/>
        <v>0</v>
      </c>
      <c r="S44" s="334">
        <f t="shared" si="5"/>
        <v>0</v>
      </c>
      <c r="T44" s="334">
        <f t="shared" si="4"/>
        <v>0</v>
      </c>
      <c r="U44" s="334">
        <f t="shared" si="4"/>
        <v>0</v>
      </c>
      <c r="V44" s="334">
        <f t="shared" si="4"/>
        <v>0</v>
      </c>
      <c r="W44" s="334">
        <f t="shared" si="4"/>
        <v>0</v>
      </c>
      <c r="X44" s="334">
        <f t="shared" si="4"/>
        <v>0</v>
      </c>
      <c r="Y44" s="334">
        <f t="shared" si="4"/>
        <v>0</v>
      </c>
      <c r="Z44" s="334">
        <f t="shared" si="4"/>
        <v>0</v>
      </c>
      <c r="AA44" s="334">
        <f t="shared" si="4"/>
        <v>0</v>
      </c>
      <c r="AB44" s="334">
        <f t="shared" si="4"/>
        <v>0</v>
      </c>
    </row>
    <row r="45" spans="3:30" x14ac:dyDescent="0.25">
      <c r="C45" s="88"/>
      <c r="E45"/>
      <c r="F45" s="37" t="s">
        <v>987</v>
      </c>
      <c r="G45" s="37" t="s">
        <v>269</v>
      </c>
      <c r="H45" s="335"/>
      <c r="I45" s="335"/>
      <c r="J45" s="335">
        <f t="shared" ref="J45:AB45" si="6">IF( J27 = 1, $H41, 0)</f>
        <v>0.18529588547307707</v>
      </c>
      <c r="K45" s="335">
        <f t="shared" si="6"/>
        <v>0</v>
      </c>
      <c r="L45" s="335">
        <f t="shared" si="6"/>
        <v>0.18529588547307707</v>
      </c>
      <c r="M45" s="335">
        <f t="shared" si="6"/>
        <v>0</v>
      </c>
      <c r="N45" s="335">
        <f t="shared" si="6"/>
        <v>0.18529588547307707</v>
      </c>
      <c r="O45" s="335">
        <f t="shared" si="6"/>
        <v>0.18529588547307707</v>
      </c>
      <c r="P45" s="335">
        <f t="shared" si="6"/>
        <v>0.18529588547307707</v>
      </c>
      <c r="Q45" s="335">
        <f t="shared" ref="Q45:S45" si="7">IF( Q27 = 1, $H41, 0)</f>
        <v>0.18529588547307707</v>
      </c>
      <c r="R45" s="335">
        <f t="shared" si="7"/>
        <v>0.18529588547307707</v>
      </c>
      <c r="S45" s="335">
        <f t="shared" si="7"/>
        <v>0.18529588547307707</v>
      </c>
      <c r="T45" s="335">
        <f t="shared" si="6"/>
        <v>0</v>
      </c>
      <c r="U45" s="335">
        <f t="shared" si="6"/>
        <v>0</v>
      </c>
      <c r="V45" s="335">
        <f t="shared" si="6"/>
        <v>0</v>
      </c>
      <c r="W45" s="335">
        <f t="shared" si="6"/>
        <v>0</v>
      </c>
      <c r="X45" s="335">
        <f t="shared" si="6"/>
        <v>0</v>
      </c>
      <c r="Y45" s="335">
        <f t="shared" si="6"/>
        <v>0</v>
      </c>
      <c r="Z45" s="335">
        <f t="shared" si="6"/>
        <v>0</v>
      </c>
      <c r="AA45" s="335">
        <f t="shared" si="6"/>
        <v>0</v>
      </c>
      <c r="AB45" s="335">
        <f t="shared" si="6"/>
        <v>0</v>
      </c>
    </row>
    <row r="46" spans="3:30" x14ac:dyDescent="0.25">
      <c r="C46" s="88"/>
      <c r="E46"/>
      <c r="F46" s="108" t="s">
        <v>544</v>
      </c>
      <c r="G46" s="108" t="s">
        <v>269</v>
      </c>
      <c r="H46" s="220"/>
      <c r="I46" s="220"/>
      <c r="J46" s="336">
        <f xml:space="preserve"> J44 + J45</f>
        <v>0.1918907862699662</v>
      </c>
      <c r="K46" s="336">
        <f t="shared" ref="K46:AB46" si="8" xml:space="preserve"> K44 + K45</f>
        <v>0</v>
      </c>
      <c r="L46" s="336">
        <f t="shared" si="8"/>
        <v>0.18529588547307707</v>
      </c>
      <c r="M46" s="336">
        <f t="shared" si="8"/>
        <v>0</v>
      </c>
      <c r="N46" s="336">
        <f t="shared" si="8"/>
        <v>0.18529588547307707</v>
      </c>
      <c r="O46" s="336">
        <f t="shared" si="8"/>
        <v>0.18529588547307707</v>
      </c>
      <c r="P46" s="336">
        <f t="shared" si="8"/>
        <v>0.18529588547307707</v>
      </c>
      <c r="Q46" s="336">
        <f t="shared" ref="Q46:S46" si="9" xml:space="preserve"> Q44 + Q45</f>
        <v>0.18529588547307707</v>
      </c>
      <c r="R46" s="336">
        <f t="shared" si="9"/>
        <v>0.18529588547307707</v>
      </c>
      <c r="S46" s="336">
        <f t="shared" si="9"/>
        <v>0.18529588547307707</v>
      </c>
      <c r="T46" s="336">
        <f t="shared" si="8"/>
        <v>0</v>
      </c>
      <c r="U46" s="336">
        <f t="shared" si="8"/>
        <v>0</v>
      </c>
      <c r="V46" s="336">
        <f t="shared" si="8"/>
        <v>0</v>
      </c>
      <c r="W46" s="336">
        <f t="shared" si="8"/>
        <v>0</v>
      </c>
      <c r="X46" s="336">
        <f t="shared" si="8"/>
        <v>0</v>
      </c>
      <c r="Y46" s="336">
        <f t="shared" si="8"/>
        <v>0</v>
      </c>
      <c r="Z46" s="336">
        <f t="shared" si="8"/>
        <v>0</v>
      </c>
      <c r="AA46" s="336">
        <f t="shared" si="8"/>
        <v>0</v>
      </c>
      <c r="AB46" s="336">
        <f t="shared" si="8"/>
        <v>0</v>
      </c>
    </row>
    <row r="47" spans="3:30" x14ac:dyDescent="0.25">
      <c r="C47" s="88"/>
      <c r="H47" s="14"/>
      <c r="I47" s="14"/>
      <c r="J47" s="14"/>
      <c r="K47" s="14"/>
      <c r="L47" s="14"/>
      <c r="M47" s="14"/>
      <c r="N47" s="14"/>
      <c r="O47" s="14"/>
      <c r="P47" s="14"/>
      <c r="Q47" s="14"/>
      <c r="R47" s="14"/>
      <c r="S47" s="14"/>
      <c r="T47" s="14"/>
      <c r="U47" s="14"/>
      <c r="V47" s="14"/>
      <c r="W47" s="14"/>
      <c r="X47" s="14"/>
      <c r="Y47" s="14"/>
      <c r="Z47" s="14"/>
      <c r="AA47" s="14"/>
      <c r="AB47" s="14"/>
    </row>
    <row r="48" spans="3:30" x14ac:dyDescent="0.25">
      <c r="C48" s="31" t="str">
        <f ca="1">INDEX('Version control'!$H$34:$H$58,MATCH($A$1,'Version control'!$F$34:$F$58,0),1)&amp;"-C: Calculation of fixed charge adder revenue"</f>
        <v>Section 116-C: Calculation of fixed charge adder revenue</v>
      </c>
      <c r="D48" s="31"/>
      <c r="E48" s="31"/>
      <c r="F48" s="31"/>
      <c r="G48" s="31"/>
      <c r="H48" s="31"/>
      <c r="I48" s="31"/>
      <c r="J48" s="31"/>
      <c r="K48" s="31"/>
      <c r="L48" s="31"/>
      <c r="M48" s="31"/>
      <c r="N48" s="31"/>
      <c r="O48" s="31"/>
      <c r="P48" s="31"/>
      <c r="Q48" s="31"/>
      <c r="R48" s="31"/>
      <c r="S48" s="31"/>
      <c r="T48" s="31"/>
      <c r="U48" s="31"/>
      <c r="V48" s="31"/>
      <c r="W48" s="31"/>
      <c r="X48" s="31"/>
      <c r="Y48" s="31"/>
      <c r="Z48" s="31"/>
      <c r="AA48" s="31"/>
      <c r="AB48" s="31"/>
      <c r="AC48" s="31"/>
      <c r="AD48" s="31"/>
    </row>
    <row r="49" spans="2:30" x14ac:dyDescent="0.25">
      <c r="C49" s="88"/>
      <c r="E49"/>
      <c r="J49" s="89"/>
      <c r="K49" s="89"/>
      <c r="L49" s="89"/>
      <c r="M49" s="89"/>
      <c r="N49" s="89"/>
      <c r="O49" s="89"/>
      <c r="P49" s="89"/>
      <c r="Q49" s="89"/>
      <c r="R49" s="89"/>
      <c r="S49" s="89"/>
      <c r="T49" s="89"/>
      <c r="U49" s="89"/>
      <c r="V49" s="89"/>
      <c r="W49" s="89"/>
      <c r="X49" s="89"/>
      <c r="Y49" s="89"/>
      <c r="Z49" s="89"/>
      <c r="AA49" s="89"/>
      <c r="AB49" s="89"/>
    </row>
    <row r="50" spans="2:30" x14ac:dyDescent="0.25">
      <c r="E50" t="s">
        <v>992</v>
      </c>
      <c r="G50" s="6" t="s">
        <v>276</v>
      </c>
      <c r="H50" s="219"/>
      <c r="I50" s="14"/>
      <c r="J50" s="219">
        <f t="shared" ref="J50:AB50" si="10">J46 / hundred * days_in_year * SUM( J20:J22 )</f>
        <v>1367526.3091900176</v>
      </c>
      <c r="K50" s="219">
        <f t="shared" si="10"/>
        <v>0</v>
      </c>
      <c r="L50" s="219">
        <f t="shared" si="10"/>
        <v>86283.84467129875</v>
      </c>
      <c r="M50" s="219">
        <f t="shared" si="10"/>
        <v>0</v>
      </c>
      <c r="N50" s="219">
        <f t="shared" si="10"/>
        <v>7404.4606426812543</v>
      </c>
      <c r="O50" s="219">
        <f t="shared" si="10"/>
        <v>165.70084558429917</v>
      </c>
      <c r="P50" s="219">
        <f t="shared" si="10"/>
        <v>870.43668680405324</v>
      </c>
      <c r="Q50" s="219">
        <f t="shared" ref="Q50:S50" si="11">Q46 / hundred * days_in_year * SUM( Q20:Q22 )</f>
        <v>0</v>
      </c>
      <c r="R50" s="219">
        <f t="shared" si="11"/>
        <v>0</v>
      </c>
      <c r="S50" s="219">
        <f t="shared" si="11"/>
        <v>0</v>
      </c>
      <c r="T50" s="219">
        <f t="shared" si="10"/>
        <v>0</v>
      </c>
      <c r="U50" s="219">
        <f t="shared" si="10"/>
        <v>0</v>
      </c>
      <c r="V50" s="219">
        <f t="shared" si="10"/>
        <v>0</v>
      </c>
      <c r="W50" s="219">
        <f t="shared" si="10"/>
        <v>0</v>
      </c>
      <c r="X50" s="219">
        <f t="shared" si="10"/>
        <v>0</v>
      </c>
      <c r="Y50" s="219">
        <f t="shared" si="10"/>
        <v>0</v>
      </c>
      <c r="Z50" s="219">
        <f t="shared" si="10"/>
        <v>0</v>
      </c>
      <c r="AA50" s="219">
        <f t="shared" si="10"/>
        <v>0</v>
      </c>
      <c r="AB50" s="219">
        <f t="shared" si="10"/>
        <v>0</v>
      </c>
    </row>
    <row r="51" spans="2:30" x14ac:dyDescent="0.25">
      <c r="H51" s="14"/>
      <c r="I51" s="14"/>
      <c r="J51" s="14"/>
      <c r="K51" s="14"/>
      <c r="L51" s="14"/>
      <c r="M51" s="14"/>
      <c r="N51" s="14"/>
      <c r="O51" s="14"/>
      <c r="P51" s="14"/>
      <c r="Q51" s="14"/>
      <c r="R51" s="14"/>
      <c r="S51" s="14"/>
      <c r="T51" s="14"/>
      <c r="U51" s="14"/>
      <c r="V51" s="14"/>
      <c r="W51" s="14"/>
      <c r="X51" s="14"/>
      <c r="Y51" s="14"/>
      <c r="Z51" s="14"/>
      <c r="AA51" s="14"/>
      <c r="AB51" s="14"/>
    </row>
    <row r="52" spans="2:30" x14ac:dyDescent="0.25">
      <c r="E52" t="s">
        <v>993</v>
      </c>
      <c r="G52" s="6" t="s">
        <v>276</v>
      </c>
      <c r="H52" s="199">
        <f>SUM( J50:AB50 )</f>
        <v>1462250.7520363859</v>
      </c>
      <c r="I52" s="14"/>
      <c r="J52" s="14"/>
      <c r="K52" s="14"/>
      <c r="L52" s="14"/>
      <c r="M52" s="14"/>
      <c r="N52" s="14"/>
      <c r="O52" s="14"/>
      <c r="P52" s="14"/>
      <c r="Q52" s="14"/>
      <c r="R52" s="14"/>
      <c r="S52" s="14"/>
      <c r="T52" s="14"/>
      <c r="U52" s="14"/>
      <c r="V52" s="14"/>
      <c r="W52" s="14"/>
      <c r="X52" s="14"/>
      <c r="Y52" s="14"/>
      <c r="Z52" s="14"/>
      <c r="AA52" s="14"/>
      <c r="AB52" s="14"/>
    </row>
    <row r="53" spans="2:30" x14ac:dyDescent="0.25">
      <c r="H53" s="14"/>
      <c r="I53" s="14"/>
      <c r="J53" s="14"/>
      <c r="K53" s="14"/>
      <c r="L53" s="14"/>
      <c r="M53" s="14"/>
      <c r="N53" s="14"/>
      <c r="O53" s="14"/>
      <c r="P53" s="14"/>
      <c r="Q53" s="14"/>
      <c r="R53" s="14"/>
      <c r="S53" s="14"/>
      <c r="T53" s="14"/>
      <c r="U53" s="14"/>
      <c r="V53" s="14"/>
      <c r="W53" s="14"/>
      <c r="X53" s="14"/>
      <c r="Y53" s="14"/>
      <c r="Z53" s="14"/>
      <c r="AA53" s="14"/>
      <c r="AB53" s="14"/>
    </row>
    <row r="54" spans="2:30" x14ac:dyDescent="0.25">
      <c r="E54" t="s">
        <v>994</v>
      </c>
      <c r="G54" s="6" t="s">
        <v>276</v>
      </c>
      <c r="H54" s="219"/>
      <c r="I54" s="14"/>
      <c r="J54" s="219">
        <f t="shared" ref="J54:AB54" si="12">J46 / hundred * days_in_year * J23</f>
        <v>2159.337423356616</v>
      </c>
      <c r="K54" s="219">
        <f t="shared" si="12"/>
        <v>0</v>
      </c>
      <c r="L54" s="219">
        <f t="shared" si="12"/>
        <v>28.405859243022714</v>
      </c>
      <c r="M54" s="219">
        <f t="shared" si="12"/>
        <v>0</v>
      </c>
      <c r="N54" s="219">
        <f t="shared" si="12"/>
        <v>12.173939675581163</v>
      </c>
      <c r="O54" s="219">
        <f t="shared" si="12"/>
        <v>0</v>
      </c>
      <c r="P54" s="219">
        <f t="shared" si="12"/>
        <v>2.7053199279069253</v>
      </c>
      <c r="Q54" s="219">
        <f t="shared" ref="Q54:S54" si="13">Q46 / hundred * days_in_year * Q23</f>
        <v>0</v>
      </c>
      <c r="R54" s="219">
        <f t="shared" si="13"/>
        <v>0</v>
      </c>
      <c r="S54" s="219">
        <f t="shared" si="13"/>
        <v>0</v>
      </c>
      <c r="T54" s="219">
        <f t="shared" si="12"/>
        <v>0</v>
      </c>
      <c r="U54" s="219">
        <f t="shared" si="12"/>
        <v>0</v>
      </c>
      <c r="V54" s="219">
        <f t="shared" si="12"/>
        <v>0</v>
      </c>
      <c r="W54" s="219">
        <f t="shared" si="12"/>
        <v>0</v>
      </c>
      <c r="X54" s="219">
        <f t="shared" si="12"/>
        <v>0</v>
      </c>
      <c r="Y54" s="219">
        <f t="shared" si="12"/>
        <v>0</v>
      </c>
      <c r="Z54" s="219">
        <f t="shared" si="12"/>
        <v>0</v>
      </c>
      <c r="AA54" s="219">
        <f t="shared" si="12"/>
        <v>0</v>
      </c>
      <c r="AB54" s="219">
        <f t="shared" si="12"/>
        <v>0</v>
      </c>
    </row>
    <row r="55" spans="2:30" x14ac:dyDescent="0.25">
      <c r="H55" s="14"/>
      <c r="I55" s="14"/>
      <c r="J55" s="14"/>
      <c r="K55" s="14"/>
      <c r="L55" s="14"/>
      <c r="M55" s="14"/>
      <c r="N55" s="14"/>
      <c r="O55" s="14"/>
      <c r="P55" s="14"/>
      <c r="Q55" s="14"/>
      <c r="R55" s="14"/>
      <c r="S55" s="14"/>
      <c r="T55" s="14"/>
      <c r="U55" s="14"/>
      <c r="V55" s="14"/>
      <c r="W55" s="14"/>
      <c r="X55" s="14"/>
      <c r="Y55" s="14"/>
      <c r="Z55" s="14"/>
      <c r="AA55" s="14"/>
      <c r="AB55" s="14"/>
    </row>
    <row r="56" spans="2:30" x14ac:dyDescent="0.25">
      <c r="E56" t="s">
        <v>995</v>
      </c>
      <c r="G56" s="6" t="s">
        <v>276</v>
      </c>
      <c r="H56" s="199">
        <f>SUM( J54:AB54 )</f>
        <v>2202.6225422031271</v>
      </c>
      <c r="I56" s="14"/>
      <c r="J56" s="14"/>
      <c r="K56" s="14"/>
      <c r="L56" s="14"/>
      <c r="M56" s="14"/>
      <c r="N56" s="14"/>
      <c r="O56" s="14"/>
      <c r="P56" s="14"/>
      <c r="Q56" s="14"/>
      <c r="R56" s="14"/>
      <c r="S56" s="14"/>
      <c r="T56" s="14"/>
      <c r="U56" s="14"/>
      <c r="V56" s="14"/>
      <c r="W56" s="14"/>
      <c r="X56" s="14"/>
      <c r="Y56" s="14"/>
      <c r="Z56" s="14"/>
      <c r="AA56" s="14"/>
      <c r="AB56" s="14"/>
    </row>
    <row r="57" spans="2:30" x14ac:dyDescent="0.25">
      <c r="H57" s="14"/>
      <c r="I57" s="14"/>
      <c r="J57" s="14"/>
      <c r="K57" s="14"/>
      <c r="L57" s="14"/>
      <c r="M57" s="14"/>
      <c r="N57" s="14"/>
      <c r="O57" s="14"/>
      <c r="P57" s="14"/>
      <c r="Q57" s="14"/>
      <c r="R57" s="14"/>
      <c r="S57" s="14"/>
      <c r="T57" s="14"/>
      <c r="U57" s="14"/>
      <c r="V57" s="14"/>
      <c r="W57" s="14"/>
      <c r="X57" s="14"/>
      <c r="Y57" s="14"/>
      <c r="Z57" s="14"/>
      <c r="AA57" s="14"/>
      <c r="AB57" s="14"/>
    </row>
    <row r="58" spans="2:30" x14ac:dyDescent="0.25">
      <c r="B58" s="30" t="s">
        <v>230</v>
      </c>
      <c r="C58" s="30"/>
      <c r="D58" s="30"/>
      <c r="E58" s="30"/>
      <c r="F58" s="30"/>
      <c r="G58" s="30"/>
      <c r="H58" s="200"/>
      <c r="I58" s="200"/>
      <c r="J58" s="200"/>
      <c r="K58" s="200"/>
      <c r="L58" s="200"/>
      <c r="M58" s="200"/>
      <c r="N58" s="200"/>
      <c r="O58" s="200"/>
      <c r="P58" s="200"/>
      <c r="Q58" s="200"/>
      <c r="R58" s="200"/>
      <c r="S58" s="200"/>
      <c r="T58" s="200"/>
      <c r="U58" s="200"/>
      <c r="V58" s="200"/>
      <c r="W58" s="200"/>
      <c r="X58" s="200"/>
      <c r="Y58" s="200"/>
      <c r="Z58" s="200"/>
      <c r="AA58" s="200"/>
      <c r="AB58" s="200"/>
      <c r="AC58" s="30"/>
      <c r="AD58" s="30"/>
    </row>
    <row r="59" spans="2:30" x14ac:dyDescent="0.25">
      <c r="H59" s="14"/>
      <c r="I59" s="14"/>
      <c r="J59" s="14"/>
      <c r="K59" s="14"/>
      <c r="L59" s="14"/>
      <c r="M59" s="14"/>
      <c r="N59" s="14"/>
      <c r="O59" s="14"/>
      <c r="P59" s="14"/>
      <c r="Q59" s="14"/>
      <c r="R59" s="14"/>
      <c r="S59" s="14"/>
      <c r="T59" s="14"/>
      <c r="U59" s="14"/>
      <c r="V59" s="14"/>
      <c r="W59" s="14"/>
      <c r="X59" s="14"/>
      <c r="Y59" s="14"/>
      <c r="Z59" s="14"/>
      <c r="AA59" s="14"/>
      <c r="AB59" s="14"/>
    </row>
    <row r="60" spans="2:30" x14ac:dyDescent="0.25">
      <c r="E60" t="s">
        <v>996</v>
      </c>
      <c r="G60" s="6" t="s">
        <v>276</v>
      </c>
      <c r="H60" s="219"/>
      <c r="I60" s="14"/>
      <c r="J60" s="219">
        <f xml:space="preserve"> J50 + J54</f>
        <v>1369685.6466133744</v>
      </c>
      <c r="K60" s="219">
        <f t="shared" ref="K60:AB60" si="14" xml:space="preserve"> K50 + K54</f>
        <v>0</v>
      </c>
      <c r="L60" s="219">
        <f t="shared" si="14"/>
        <v>86312.250530541773</v>
      </c>
      <c r="M60" s="219">
        <f t="shared" si="14"/>
        <v>0</v>
      </c>
      <c r="N60" s="219">
        <f t="shared" si="14"/>
        <v>7416.6345823568354</v>
      </c>
      <c r="O60" s="219">
        <f t="shared" si="14"/>
        <v>165.70084558429917</v>
      </c>
      <c r="P60" s="219">
        <f t="shared" si="14"/>
        <v>873.14200673196012</v>
      </c>
      <c r="Q60" s="219">
        <f t="shared" ref="Q60:S60" si="15" xml:space="preserve"> Q50 + Q54</f>
        <v>0</v>
      </c>
      <c r="R60" s="219">
        <f t="shared" si="15"/>
        <v>0</v>
      </c>
      <c r="S60" s="219">
        <f t="shared" si="15"/>
        <v>0</v>
      </c>
      <c r="T60" s="219">
        <f t="shared" si="14"/>
        <v>0</v>
      </c>
      <c r="U60" s="219">
        <f t="shared" si="14"/>
        <v>0</v>
      </c>
      <c r="V60" s="219">
        <f t="shared" si="14"/>
        <v>0</v>
      </c>
      <c r="W60" s="219">
        <f t="shared" si="14"/>
        <v>0</v>
      </c>
      <c r="X60" s="219">
        <f t="shared" si="14"/>
        <v>0</v>
      </c>
      <c r="Y60" s="219">
        <f t="shared" si="14"/>
        <v>0</v>
      </c>
      <c r="Z60" s="219">
        <f t="shared" si="14"/>
        <v>0</v>
      </c>
      <c r="AA60" s="219">
        <f t="shared" si="14"/>
        <v>0</v>
      </c>
      <c r="AB60" s="219">
        <f t="shared" si="14"/>
        <v>0</v>
      </c>
    </row>
    <row r="61" spans="2:30" x14ac:dyDescent="0.25">
      <c r="H61" s="14"/>
      <c r="I61" s="14"/>
      <c r="J61" s="14"/>
      <c r="K61" s="14"/>
      <c r="L61" s="14"/>
      <c r="M61" s="14"/>
      <c r="N61" s="14"/>
      <c r="O61" s="14"/>
      <c r="P61" s="14"/>
      <c r="Q61" s="14"/>
      <c r="R61" s="14"/>
      <c r="S61" s="14"/>
      <c r="T61" s="14"/>
      <c r="U61" s="14"/>
      <c r="V61" s="14"/>
      <c r="W61" s="14"/>
      <c r="X61" s="14"/>
      <c r="Y61" s="14"/>
      <c r="Z61" s="14"/>
      <c r="AA61" s="14"/>
      <c r="AB61" s="14"/>
    </row>
    <row r="62" spans="2:30" x14ac:dyDescent="0.25">
      <c r="E62" t="s">
        <v>997</v>
      </c>
      <c r="G62" s="6" t="s">
        <v>276</v>
      </c>
      <c r="H62" s="89">
        <f>SUM( J60:AB60 )</f>
        <v>1464453.3745785893</v>
      </c>
      <c r="I62" s="14"/>
      <c r="J62" s="14"/>
      <c r="K62" s="14"/>
      <c r="L62" s="14"/>
      <c r="M62" s="14"/>
      <c r="N62" s="14"/>
      <c r="O62" s="14"/>
      <c r="P62" s="14"/>
      <c r="Q62" s="14"/>
      <c r="R62" s="14"/>
      <c r="S62" s="14"/>
      <c r="T62" s="14"/>
      <c r="U62" s="14"/>
      <c r="V62" s="14"/>
      <c r="W62" s="14"/>
      <c r="X62" s="14"/>
      <c r="Y62" s="14"/>
      <c r="Z62" s="14"/>
      <c r="AA62" s="14"/>
      <c r="AB62" s="14"/>
    </row>
    <row r="63" spans="2:30" x14ac:dyDescent="0.25">
      <c r="H63" s="14"/>
      <c r="I63" s="14"/>
      <c r="J63" s="14"/>
      <c r="K63" s="14"/>
      <c r="L63" s="14"/>
      <c r="M63" s="14"/>
      <c r="N63" s="14"/>
      <c r="O63" s="14"/>
      <c r="P63" s="14"/>
      <c r="Q63" s="14"/>
      <c r="R63" s="14"/>
      <c r="S63" s="14"/>
      <c r="T63" s="14"/>
      <c r="U63" s="14"/>
      <c r="V63" s="14"/>
      <c r="W63" s="14"/>
      <c r="X63" s="14"/>
      <c r="Y63" s="14"/>
      <c r="Z63" s="14"/>
      <c r="AA63" s="14"/>
      <c r="AB63" s="14"/>
    </row>
    <row r="64" spans="2:30" x14ac:dyDescent="0.25">
      <c r="E64" t="s">
        <v>998</v>
      </c>
      <c r="G64" s="6" t="s">
        <v>54</v>
      </c>
      <c r="H64" s="201">
        <f>IF( ABS( IFERROR( H62, 0 ) - ( H30 + H31 ) ) &lt; 10^-check_decimals, 0, 1)</f>
        <v>0</v>
      </c>
      <c r="I64" s="14"/>
      <c r="J64" s="14"/>
      <c r="K64" s="14"/>
      <c r="L64" s="14"/>
      <c r="M64" s="14"/>
      <c r="N64" s="14"/>
      <c r="O64" s="14"/>
      <c r="P64" s="14"/>
      <c r="Q64" s="14"/>
      <c r="R64" s="14"/>
      <c r="S64" s="14"/>
      <c r="T64" s="14"/>
      <c r="U64" s="14"/>
      <c r="V64" s="14"/>
      <c r="W64" s="14"/>
      <c r="X64" s="14"/>
      <c r="Y64" s="14"/>
      <c r="Z64" s="14"/>
      <c r="AA64" s="14"/>
      <c r="AB64" s="14"/>
    </row>
    <row r="65" spans="2:30" x14ac:dyDescent="0.25">
      <c r="H65" s="14"/>
      <c r="I65" s="14"/>
      <c r="J65" s="14"/>
      <c r="K65" s="14"/>
      <c r="L65" s="14"/>
      <c r="M65" s="14"/>
      <c r="N65" s="14"/>
      <c r="O65" s="14"/>
      <c r="P65" s="14"/>
      <c r="Q65" s="14"/>
      <c r="R65" s="14"/>
      <c r="S65" s="14"/>
      <c r="T65" s="14"/>
      <c r="U65" s="14"/>
      <c r="V65" s="14"/>
      <c r="W65" s="14"/>
      <c r="X65" s="14"/>
      <c r="Y65" s="14"/>
      <c r="Z65" s="14"/>
      <c r="AA65" s="14"/>
      <c r="AB65" s="14"/>
    </row>
    <row r="66" spans="2:30" x14ac:dyDescent="0.25">
      <c r="E66" t="s">
        <v>231</v>
      </c>
      <c r="G66" s="6" t="s">
        <v>54</v>
      </c>
      <c r="H66" s="337">
        <f t="array" ref="H66">SUM( IF( ISERROR( H20:AB57 ), 1 )) + H64</f>
        <v>0</v>
      </c>
      <c r="I66" s="14"/>
      <c r="J66" s="14"/>
      <c r="K66" s="14"/>
      <c r="L66" s="14"/>
      <c r="M66" s="14"/>
      <c r="N66" s="14"/>
      <c r="O66" s="14"/>
      <c r="P66" s="14"/>
      <c r="Q66" s="14"/>
      <c r="R66" s="14"/>
      <c r="S66" s="14"/>
      <c r="T66" s="14"/>
      <c r="U66" s="14"/>
      <c r="V66" s="14"/>
      <c r="W66" s="14"/>
      <c r="X66" s="14"/>
      <c r="Y66" s="14"/>
      <c r="Z66" s="14"/>
      <c r="AA66" s="14"/>
      <c r="AB66" s="14"/>
    </row>
    <row r="67" spans="2:30" x14ac:dyDescent="0.25">
      <c r="H67" s="14"/>
      <c r="I67" s="14"/>
      <c r="J67" s="14"/>
      <c r="K67" s="14"/>
      <c r="L67" s="14"/>
      <c r="M67" s="14"/>
      <c r="N67" s="14"/>
      <c r="O67" s="14"/>
      <c r="P67" s="14"/>
      <c r="Q67" s="14"/>
      <c r="R67" s="14"/>
      <c r="S67" s="14"/>
      <c r="T67" s="14"/>
      <c r="U67" s="14"/>
      <c r="V67" s="14"/>
      <c r="W67" s="14"/>
      <c r="X67" s="14"/>
      <c r="Y67" s="14"/>
      <c r="Z67" s="14"/>
      <c r="AA67" s="14"/>
      <c r="AB67" s="14"/>
    </row>
    <row r="68" spans="2:30" x14ac:dyDescent="0.25">
      <c r="B68" s="30" t="s">
        <v>105</v>
      </c>
      <c r="C68" s="30"/>
      <c r="D68" s="30"/>
      <c r="E68" s="30"/>
      <c r="F68" s="30"/>
      <c r="G68" s="30"/>
      <c r="H68" s="200"/>
      <c r="I68" s="200"/>
      <c r="J68" s="200"/>
      <c r="K68" s="200"/>
      <c r="L68" s="200"/>
      <c r="M68" s="200"/>
      <c r="N68" s="200"/>
      <c r="O68" s="200"/>
      <c r="P68" s="200"/>
      <c r="Q68" s="200"/>
      <c r="R68" s="200"/>
      <c r="S68" s="200"/>
      <c r="T68" s="200"/>
      <c r="U68" s="200"/>
      <c r="V68" s="200"/>
      <c r="W68" s="200"/>
      <c r="X68" s="200"/>
      <c r="Y68" s="200"/>
      <c r="Z68" s="200"/>
      <c r="AA68" s="200"/>
      <c r="AB68" s="200"/>
      <c r="AC68" s="30"/>
      <c r="AD68" s="30"/>
    </row>
    <row r="69" spans="2:30" x14ac:dyDescent="0.25">
      <c r="H69" s="14"/>
      <c r="I69" s="14"/>
      <c r="J69" s="14"/>
      <c r="K69" s="14"/>
      <c r="L69" s="14"/>
      <c r="M69" s="14"/>
      <c r="N69" s="14"/>
      <c r="O69" s="14"/>
      <c r="P69" s="14"/>
      <c r="Q69" s="14"/>
      <c r="R69" s="14"/>
      <c r="S69" s="14"/>
      <c r="T69" s="14"/>
      <c r="U69" s="14"/>
      <c r="V69" s="14"/>
      <c r="W69" s="14"/>
      <c r="X69" s="14"/>
      <c r="Y69" s="14"/>
      <c r="Z69" s="14"/>
      <c r="AA69" s="14"/>
      <c r="AB69" s="14"/>
    </row>
    <row r="70" spans="2:30" x14ac:dyDescent="0.25">
      <c r="H70" s="14"/>
      <c r="I70" s="14"/>
      <c r="J70" s="14"/>
      <c r="K70" s="14"/>
      <c r="L70" s="14"/>
      <c r="M70" s="14"/>
      <c r="N70" s="14"/>
      <c r="O70" s="14"/>
      <c r="P70" s="14"/>
      <c r="Q70" s="14"/>
      <c r="R70" s="14"/>
      <c r="S70" s="14"/>
      <c r="T70" s="14"/>
      <c r="U70" s="14"/>
      <c r="V70" s="14"/>
      <c r="W70" s="14"/>
      <c r="X70" s="14"/>
      <c r="Y70" s="14"/>
      <c r="Z70" s="14"/>
      <c r="AA70" s="14"/>
      <c r="AB70" s="14"/>
    </row>
    <row r="71" spans="2:30" x14ac:dyDescent="0.25">
      <c r="H71" s="14"/>
      <c r="I71" s="14"/>
      <c r="J71" s="14"/>
      <c r="K71" s="14"/>
      <c r="L71" s="14"/>
      <c r="M71" s="14"/>
      <c r="N71" s="14"/>
      <c r="O71" s="14"/>
      <c r="P71" s="14"/>
      <c r="Q71" s="14"/>
      <c r="R71" s="14"/>
      <c r="S71" s="14"/>
      <c r="T71" s="14"/>
      <c r="U71" s="14"/>
      <c r="V71" s="14"/>
      <c r="W71" s="14"/>
      <c r="X71" s="14"/>
      <c r="Y71" s="14"/>
      <c r="Z71" s="14"/>
      <c r="AA71" s="14"/>
      <c r="AB71" s="14"/>
    </row>
    <row r="72" spans="2:30" x14ac:dyDescent="0.25">
      <c r="H72" s="14"/>
      <c r="I72" s="14"/>
      <c r="J72" s="14"/>
      <c r="K72" s="14"/>
      <c r="L72" s="14"/>
      <c r="M72" s="14"/>
      <c r="N72" s="14"/>
      <c r="O72" s="14"/>
      <c r="P72" s="14"/>
      <c r="Q72" s="14"/>
      <c r="R72" s="14"/>
      <c r="S72" s="14"/>
      <c r="T72" s="14"/>
      <c r="U72" s="14"/>
      <c r="V72" s="14"/>
      <c r="W72" s="14"/>
      <c r="X72" s="14"/>
      <c r="Y72" s="14"/>
      <c r="Z72" s="14"/>
      <c r="AA72" s="14"/>
      <c r="AB72" s="14"/>
    </row>
    <row r="73" spans="2:30" x14ac:dyDescent="0.25">
      <c r="H73" s="14"/>
      <c r="I73" s="14"/>
      <c r="J73" s="14"/>
      <c r="K73" s="14"/>
      <c r="L73" s="14"/>
      <c r="M73" s="14"/>
      <c r="N73" s="14"/>
      <c r="O73" s="14"/>
      <c r="P73" s="14"/>
      <c r="Q73" s="14"/>
      <c r="R73" s="14"/>
      <c r="S73" s="14"/>
      <c r="T73" s="14"/>
      <c r="U73" s="14"/>
      <c r="V73" s="14"/>
      <c r="W73" s="14"/>
      <c r="X73" s="14"/>
      <c r="Y73" s="14"/>
      <c r="Z73" s="14"/>
      <c r="AA73" s="14"/>
      <c r="AB73" s="14"/>
    </row>
    <row r="74" spans="2:30" x14ac:dyDescent="0.25">
      <c r="H74" s="14"/>
      <c r="I74" s="14"/>
      <c r="J74" s="14"/>
      <c r="K74" s="14"/>
      <c r="L74" s="14"/>
      <c r="M74" s="14"/>
      <c r="N74" s="14"/>
      <c r="O74" s="14"/>
      <c r="P74" s="14"/>
      <c r="Q74" s="14"/>
      <c r="R74" s="14"/>
      <c r="S74" s="14"/>
      <c r="T74" s="14"/>
      <c r="U74" s="14"/>
      <c r="V74" s="14"/>
      <c r="W74" s="14"/>
      <c r="X74" s="14"/>
      <c r="Y74" s="14"/>
      <c r="Z74" s="14"/>
      <c r="AA74" s="14"/>
      <c r="AB74" s="14"/>
    </row>
    <row r="75" spans="2:30" x14ac:dyDescent="0.25">
      <c r="H75" s="14"/>
      <c r="I75" s="14"/>
      <c r="J75" s="14"/>
      <c r="K75" s="14"/>
      <c r="L75" s="14"/>
      <c r="M75" s="14"/>
      <c r="N75" s="14"/>
      <c r="O75" s="14"/>
      <c r="P75" s="14"/>
      <c r="Q75" s="14"/>
      <c r="R75" s="14"/>
      <c r="S75" s="14"/>
      <c r="T75" s="14"/>
      <c r="U75" s="14"/>
      <c r="V75" s="14"/>
      <c r="W75" s="14"/>
      <c r="X75" s="14"/>
      <c r="Y75" s="14"/>
      <c r="Z75" s="14"/>
      <c r="AA75" s="14"/>
      <c r="AB75" s="14"/>
    </row>
    <row r="76" spans="2:30" x14ac:dyDescent="0.25">
      <c r="H76" s="14"/>
      <c r="I76" s="14"/>
      <c r="J76" s="14"/>
      <c r="K76" s="14"/>
      <c r="L76" s="14"/>
      <c r="M76" s="14"/>
      <c r="N76" s="14"/>
      <c r="O76" s="14"/>
      <c r="P76" s="14"/>
      <c r="Q76" s="14"/>
      <c r="R76" s="14"/>
      <c r="S76" s="14"/>
      <c r="T76" s="14"/>
      <c r="U76" s="14"/>
      <c r="V76" s="14"/>
      <c r="W76" s="14"/>
      <c r="X76" s="14"/>
      <c r="Y76" s="14"/>
      <c r="Z76" s="14"/>
      <c r="AA76" s="14"/>
      <c r="AB76" s="14"/>
    </row>
  </sheetData>
  <sheetProtection sheet="1" objects="1" formatCells="0" formatColumns="0" formatRows="0" sort="0" autoFilter="0"/>
  <conditionalFormatting sqref="H66">
    <cfRule type="cellIs" dxfId="26" priority="3" operator="greaterThan">
      <formula>0</formula>
    </cfRule>
  </conditionalFormatting>
  <conditionalFormatting sqref="A4:XFD4">
    <cfRule type="expression" dxfId="25" priority="2">
      <formula>LEFT($A$4,1) &lt;&gt; "0"</formula>
    </cfRule>
  </conditionalFormatting>
  <conditionalFormatting sqref="H64">
    <cfRule type="cellIs" dxfId="24" priority="1" operator="greaterThan">
      <formula>0</formula>
    </cfRule>
  </conditionalFormatting>
  <hyperlinks>
    <hyperlink ref="B5:F5" location="'Model map'!A1" display="Click here to return to model map" xr:uid="{00000000-0004-0000-1800-000000000000}"/>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5">
    <tabColor theme="4" tint="0.59999389629810485"/>
    <pageSetUpPr fitToPage="1"/>
  </sheetPr>
  <dimension ref="A1:LH16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8" width="17" customWidth="1"/>
    <col min="29" max="29" width="2.42578125" customWidth="1"/>
    <col min="30" max="30" width="50.5703125" customWidth="1"/>
    <col min="31" max="31" width="2.42578125" customWidth="1"/>
    <col min="32" max="32" width="24.5703125" hidden="1" customWidth="1"/>
    <col min="33" max="33" width="3.5703125" hidden="1" customWidth="1"/>
    <col min="34" max="34" width="15.42578125" hidden="1" customWidth="1"/>
    <col min="35" max="320" width="24.5703125" hidden="1" customWidth="1"/>
    <col min="321" max="16384" width="8.5703125" hidden="1"/>
  </cols>
  <sheetData>
    <row r="1" spans="1:30" s="1" customFormat="1" x14ac:dyDescent="0.25">
      <c r="A1" s="1" t="str">
        <f ca="1">MID(CELL("filename",A1),FIND("]",CELL("filename",A1))+1,255)</f>
        <v>Rounding</v>
      </c>
    </row>
    <row r="2" spans="1:30" s="1" customFormat="1" x14ac:dyDescent="0.25">
      <c r="A2" s="1" t="str">
        <f>Cover!D21&amp;" - "&amp;Cover!D23</f>
        <v>SP Distribution - Two</v>
      </c>
    </row>
    <row r="3" spans="1:30" s="5" customFormat="1" x14ac:dyDescent="0.25">
      <c r="A3" s="5" t="str">
        <f>Cover!D2&amp;" - "&amp;Cover!D8&amp;" v"&amp;Cover!D10&amp;" - "&amp;Cover!D19</f>
        <v>CDCM charging model - Release for charge setting v6 - 2021/22</v>
      </c>
    </row>
    <row r="4" spans="1:30" x14ac:dyDescent="0.25">
      <c r="A4" s="12" t="str">
        <f>H158 &amp; IF(H158 = 1, " issue", " issues") &amp;" identified in checks on this sheet"</f>
        <v>0 issues identified in checks on this sheet</v>
      </c>
      <c r="B4" s="13"/>
      <c r="C4" s="13"/>
      <c r="D4" s="13"/>
      <c r="E4" s="13"/>
      <c r="F4" s="13"/>
      <c r="G4" s="13"/>
      <c r="H4" s="14"/>
      <c r="I4" s="14"/>
    </row>
    <row r="5" spans="1:30" ht="60" x14ac:dyDescent="0.25">
      <c r="B5" s="59" t="s">
        <v>141</v>
      </c>
      <c r="C5" s="60"/>
      <c r="D5" s="60"/>
      <c r="E5" s="60"/>
      <c r="F5" s="60"/>
      <c r="G5" s="61" t="s">
        <v>142</v>
      </c>
      <c r="H5" s="62" t="s">
        <v>143</v>
      </c>
      <c r="J5" s="62" t="s">
        <v>893</v>
      </c>
      <c r="K5" s="62" t="s">
        <v>895</v>
      </c>
      <c r="L5" s="62" t="s">
        <v>894</v>
      </c>
      <c r="M5" s="62" t="s">
        <v>896</v>
      </c>
      <c r="N5" s="62" t="s">
        <v>902</v>
      </c>
      <c r="O5" s="62" t="s">
        <v>903</v>
      </c>
      <c r="P5" s="62" t="s">
        <v>904</v>
      </c>
      <c r="Q5" s="62" t="s">
        <v>1027</v>
      </c>
      <c r="R5" s="62" t="s">
        <v>1028</v>
      </c>
      <c r="S5" s="62" t="s">
        <v>1029</v>
      </c>
      <c r="T5" s="62" t="s">
        <v>905</v>
      </c>
      <c r="U5" s="62" t="s">
        <v>897</v>
      </c>
      <c r="V5" s="62" t="s">
        <v>898</v>
      </c>
      <c r="W5" s="62" t="s">
        <v>899</v>
      </c>
      <c r="X5" s="62" t="s">
        <v>908</v>
      </c>
      <c r="Y5" s="62" t="s">
        <v>900</v>
      </c>
      <c r="Z5" s="62" t="s">
        <v>907</v>
      </c>
      <c r="AA5" s="62" t="s">
        <v>901</v>
      </c>
      <c r="AB5" s="62" t="s">
        <v>906</v>
      </c>
      <c r="AD5" s="61" t="s">
        <v>144</v>
      </c>
    </row>
    <row r="7" spans="1:30" x14ac:dyDescent="0.25">
      <c r="B7" s="30" t="s">
        <v>9</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row>
    <row r="9" spans="1:30" x14ac:dyDescent="0.25">
      <c r="C9" s="29" t="s">
        <v>805</v>
      </c>
      <c r="E9"/>
    </row>
    <row r="10" spans="1:30" x14ac:dyDescent="0.25">
      <c r="C10" s="29" t="s">
        <v>806</v>
      </c>
      <c r="E10"/>
    </row>
    <row r="12" spans="1:30" x14ac:dyDescent="0.25">
      <c r="B12" s="30" t="s">
        <v>807</v>
      </c>
      <c r="C12" s="30"/>
      <c r="D12" s="30"/>
      <c r="E12" s="30"/>
      <c r="F12" s="30"/>
      <c r="G12" s="30"/>
      <c r="H12" s="30"/>
      <c r="I12" s="30"/>
      <c r="J12" s="30"/>
      <c r="K12" s="30"/>
      <c r="L12" s="30"/>
      <c r="M12" s="30"/>
      <c r="N12" s="30"/>
      <c r="O12" s="30"/>
      <c r="P12" s="30"/>
      <c r="Q12" s="30"/>
      <c r="R12" s="30"/>
      <c r="S12" s="30"/>
      <c r="T12" s="30"/>
      <c r="U12" s="30"/>
      <c r="V12" s="30"/>
      <c r="W12" s="30"/>
      <c r="X12" s="30"/>
      <c r="Y12" s="30"/>
      <c r="Z12" s="30"/>
      <c r="AA12" s="30"/>
      <c r="AB12" s="30"/>
      <c r="AC12" s="30"/>
      <c r="AD12" s="30"/>
    </row>
    <row r="14" spans="1:30" x14ac:dyDescent="0.25">
      <c r="C14" s="29" t="s">
        <v>808</v>
      </c>
    </row>
    <row r="16" spans="1:30" x14ac:dyDescent="0.25">
      <c r="C16" s="31" t="str">
        <f ca="1">INDEX('Version control'!$H$34:$H$57,MATCH($A$1,'Version control'!$F$34:$F$57,0),1)&amp;"-A: Pre-match, pre-rounding tariff forecast"</f>
        <v>Section 117-A: Pre-match, pre-rounding tariff forecast</v>
      </c>
      <c r="D16" s="31"/>
      <c r="E16" s="31"/>
      <c r="F16" s="31"/>
      <c r="G16" s="31"/>
      <c r="H16" s="31"/>
      <c r="I16" s="31"/>
      <c r="J16" s="31"/>
      <c r="K16" s="31"/>
      <c r="L16" s="31"/>
      <c r="M16" s="31"/>
      <c r="N16" s="31"/>
      <c r="O16" s="31"/>
      <c r="P16" s="31"/>
      <c r="Q16" s="31"/>
      <c r="R16" s="31"/>
      <c r="S16" s="31"/>
      <c r="T16" s="31"/>
      <c r="U16" s="31"/>
      <c r="V16" s="31"/>
      <c r="W16" s="31"/>
      <c r="X16" s="31"/>
      <c r="Y16" s="31"/>
      <c r="Z16" s="31"/>
      <c r="AA16" s="31"/>
      <c r="AB16" s="31"/>
      <c r="AC16" s="31"/>
      <c r="AD16" s="31"/>
    </row>
    <row r="18" spans="3:30" x14ac:dyDescent="0.25">
      <c r="E18" s="32" t="s">
        <v>809</v>
      </c>
      <c r="F18" s="32"/>
    </row>
    <row r="19" spans="3:30" x14ac:dyDescent="0.25">
      <c r="E19" s="29" t="s">
        <v>810</v>
      </c>
      <c r="F19" s="2"/>
    </row>
    <row r="20" spans="3:30" x14ac:dyDescent="0.25">
      <c r="C20" s="88"/>
      <c r="F20" s="23" t="s">
        <v>155</v>
      </c>
      <c r="G20" s="23" t="s">
        <v>268</v>
      </c>
      <c r="H20" s="285"/>
      <c r="I20" s="269"/>
      <c r="J20" s="285">
        <f>'Revenue matching'!J20</f>
        <v>9.0075798509575993</v>
      </c>
      <c r="K20" s="285">
        <f>'Revenue matching'!K20</f>
        <v>9.0075798509575993</v>
      </c>
      <c r="L20" s="285">
        <f>'Revenue matching'!L20</f>
        <v>10.462349584574492</v>
      </c>
      <c r="M20" s="285">
        <f>'Revenue matching'!M20</f>
        <v>10.462349584574492</v>
      </c>
      <c r="N20" s="285">
        <f>'Revenue matching'!N20</f>
        <v>7.0335580755778464</v>
      </c>
      <c r="O20" s="285">
        <f>'Revenue matching'!O20</f>
        <v>4.1620061131966093</v>
      </c>
      <c r="P20" s="285">
        <f>'Revenue matching'!P20</f>
        <v>3.1534185792984371</v>
      </c>
      <c r="Q20" s="285">
        <f>'Revenue matching'!Q20</f>
        <v>7.0335580755778464</v>
      </c>
      <c r="R20" s="285">
        <f>'Revenue matching'!R20</f>
        <v>4.1620061131966093</v>
      </c>
      <c r="S20" s="285">
        <f>'Revenue matching'!S20</f>
        <v>3.1534185792984371</v>
      </c>
      <c r="T20" s="285">
        <f>'Revenue matching'!T20</f>
        <v>21.581103155032686</v>
      </c>
      <c r="U20" s="285">
        <f>'Revenue matching'!U20</f>
        <v>-6.4413635387668471</v>
      </c>
      <c r="V20" s="285">
        <f>'Revenue matching'!V20</f>
        <v>-5.6891199709087141</v>
      </c>
      <c r="W20" s="285">
        <f>'Revenue matching'!W20</f>
        <v>-6.4413635387668471</v>
      </c>
      <c r="X20" s="285">
        <f>'Revenue matching'!X20</f>
        <v>-6.4413635387668471</v>
      </c>
      <c r="Y20" s="285">
        <f>'Revenue matching'!Y20</f>
        <v>-5.6891199709087141</v>
      </c>
      <c r="Z20" s="285">
        <f>'Revenue matching'!Z20</f>
        <v>-5.6891199709087141</v>
      </c>
      <c r="AA20" s="285">
        <f>'Revenue matching'!AA20</f>
        <v>-3.732687631507082</v>
      </c>
      <c r="AB20" s="285">
        <f>'Revenue matching'!AB20</f>
        <v>-3.732687631507082</v>
      </c>
      <c r="AC20" s="271"/>
      <c r="AD20" s="271"/>
    </row>
    <row r="21" spans="3:30" x14ac:dyDescent="0.25">
      <c r="C21" s="88"/>
      <c r="F21" t="s">
        <v>156</v>
      </c>
      <c r="G21" t="s">
        <v>268</v>
      </c>
      <c r="H21" s="286"/>
      <c r="I21" s="271"/>
      <c r="J21" s="286">
        <f>'Revenue matching'!J21</f>
        <v>0.88300920268903393</v>
      </c>
      <c r="K21" s="286">
        <f>'Revenue matching'!K21</f>
        <v>0.88300920268903393</v>
      </c>
      <c r="L21" s="286">
        <f>'Revenue matching'!L21</f>
        <v>1.0256196578648074</v>
      </c>
      <c r="M21" s="286">
        <f>'Revenue matching'!M21</f>
        <v>1.0256196578648074</v>
      </c>
      <c r="N21" s="286">
        <f>'Revenue matching'!N21</f>
        <v>0.66594714340259142</v>
      </c>
      <c r="O21" s="286">
        <f>'Revenue matching'!O21</f>
        <v>0.35402490513798557</v>
      </c>
      <c r="P21" s="286">
        <f>'Revenue matching'!P21</f>
        <v>0.25261633874531259</v>
      </c>
      <c r="Q21" s="286">
        <f>'Revenue matching'!Q21</f>
        <v>0.66594714340259142</v>
      </c>
      <c r="R21" s="286">
        <f>'Revenue matching'!R21</f>
        <v>0.35402490513798557</v>
      </c>
      <c r="S21" s="286">
        <f>'Revenue matching'!S21</f>
        <v>0.25261633874531259</v>
      </c>
      <c r="T21" s="286">
        <f>'Revenue matching'!T21</f>
        <v>1.1952447724229316</v>
      </c>
      <c r="U21" s="286">
        <f>'Revenue matching'!U21</f>
        <v>-0.63144411448010185</v>
      </c>
      <c r="V21" s="286">
        <f>'Revenue matching'!V21</f>
        <v>-0.54797375527131609</v>
      </c>
      <c r="W21" s="286">
        <f>'Revenue matching'!W21</f>
        <v>-0.63144411448010185</v>
      </c>
      <c r="X21" s="286">
        <f>'Revenue matching'!X21</f>
        <v>-0.63144411448010185</v>
      </c>
      <c r="Y21" s="286">
        <f>'Revenue matching'!Y21</f>
        <v>-0.54797375527131609</v>
      </c>
      <c r="Z21" s="286">
        <f>'Revenue matching'!Z21</f>
        <v>-0.54797375527131609</v>
      </c>
      <c r="AA21" s="286">
        <f>'Revenue matching'!AA21</f>
        <v>-0.31633967493658671</v>
      </c>
      <c r="AB21" s="286">
        <f>'Revenue matching'!AB21</f>
        <v>-0.31633967493658671</v>
      </c>
      <c r="AC21" s="271"/>
      <c r="AD21" s="271"/>
    </row>
    <row r="22" spans="3:30" x14ac:dyDescent="0.25">
      <c r="C22" s="88"/>
      <c r="F22" t="s">
        <v>157</v>
      </c>
      <c r="G22" t="s">
        <v>268</v>
      </c>
      <c r="H22" s="286"/>
      <c r="I22" s="271"/>
      <c r="J22" s="286">
        <f>'Revenue matching'!J22</f>
        <v>2.2825020549340613E-2</v>
      </c>
      <c r="K22" s="286">
        <f>'Revenue matching'!K22</f>
        <v>2.2825020549340613E-2</v>
      </c>
      <c r="L22" s="286">
        <f>'Revenue matching'!L22</f>
        <v>2.6511376886313207E-2</v>
      </c>
      <c r="M22" s="286">
        <f>'Revenue matching'!M22</f>
        <v>2.6511376886313207E-2</v>
      </c>
      <c r="N22" s="286">
        <f>'Revenue matching'!N22</f>
        <v>1.6180688220383998E-2</v>
      </c>
      <c r="O22" s="286">
        <f>'Revenue matching'!O22</f>
        <v>6.782565073577133E-3</v>
      </c>
      <c r="P22" s="286">
        <f>'Revenue matching'!P22</f>
        <v>4.0498989835803315E-3</v>
      </c>
      <c r="Q22" s="286">
        <f>'Revenue matching'!Q22</f>
        <v>1.6180688220383998E-2</v>
      </c>
      <c r="R22" s="286">
        <f>'Revenue matching'!R22</f>
        <v>6.782565073577133E-3</v>
      </c>
      <c r="S22" s="286">
        <f>'Revenue matching'!S22</f>
        <v>4.0498989835803315E-3</v>
      </c>
      <c r="T22" s="286">
        <f>'Revenue matching'!T22</f>
        <v>0.44929121314425297</v>
      </c>
      <c r="U22" s="286">
        <f>'Revenue matching'!U22</f>
        <v>-1.632228163067535E-2</v>
      </c>
      <c r="V22" s="286">
        <f>'Revenue matching'!V22</f>
        <v>-1.3737723553938727E-2</v>
      </c>
      <c r="W22" s="286">
        <f>'Revenue matching'!W22</f>
        <v>-1.632228163067535E-2</v>
      </c>
      <c r="X22" s="286">
        <f>'Revenue matching'!X22</f>
        <v>-1.632228163067535E-2</v>
      </c>
      <c r="Y22" s="286">
        <f>'Revenue matching'!Y22</f>
        <v>-1.3737723553938727E-2</v>
      </c>
      <c r="Z22" s="286">
        <f>'Revenue matching'!Z22</f>
        <v>-1.3737723553938727E-2</v>
      </c>
      <c r="AA22" s="286">
        <f>'Revenue matching'!AA22</f>
        <v>-6.0015573611233893E-3</v>
      </c>
      <c r="AB22" s="286">
        <f>'Revenue matching'!AB22</f>
        <v>-6.0015573611233893E-3</v>
      </c>
      <c r="AC22" s="271"/>
      <c r="AD22" s="271"/>
    </row>
    <row r="23" spans="3:30" x14ac:dyDescent="0.25">
      <c r="C23" s="88"/>
      <c r="F23" t="s">
        <v>158</v>
      </c>
      <c r="G23" t="s">
        <v>269</v>
      </c>
      <c r="H23" s="51"/>
      <c r="J23" s="120">
        <f>'Revenue matching'!J23</f>
        <v>4.5716420838261662</v>
      </c>
      <c r="K23" s="120">
        <f>'Revenue matching'!K23</f>
        <v>0</v>
      </c>
      <c r="L23" s="120">
        <f>'Revenue matching'!L23</f>
        <v>5.8510599368879221</v>
      </c>
      <c r="M23" s="120">
        <f>'Revenue matching'!M23</f>
        <v>0</v>
      </c>
      <c r="N23" s="120">
        <f>'Revenue matching'!N23</f>
        <v>23.235516904135658</v>
      </c>
      <c r="O23" s="120">
        <f>'Revenue matching'!O23</f>
        <v>8.2007706720478808</v>
      </c>
      <c r="P23" s="120">
        <f>'Revenue matching'!P23</f>
        <v>124.16460347195436</v>
      </c>
      <c r="Q23" s="120">
        <f>'Revenue matching'!Q23</f>
        <v>23.235516904135658</v>
      </c>
      <c r="R23" s="120">
        <f>'Revenue matching'!R23</f>
        <v>8.2007706720478808</v>
      </c>
      <c r="S23" s="120">
        <f>'Revenue matching'!S23</f>
        <v>124.16460347195436</v>
      </c>
      <c r="T23" s="120">
        <f>'Revenue matching'!T23</f>
        <v>0</v>
      </c>
      <c r="U23" s="120">
        <f>'Revenue matching'!U23</f>
        <v>0</v>
      </c>
      <c r="V23" s="120">
        <f>'Revenue matching'!V23</f>
        <v>0</v>
      </c>
      <c r="W23" s="120">
        <f>'Revenue matching'!W23</f>
        <v>0</v>
      </c>
      <c r="X23" s="120">
        <f>'Revenue matching'!X23</f>
        <v>0</v>
      </c>
      <c r="Y23" s="120">
        <f>'Revenue matching'!Y23</f>
        <v>0</v>
      </c>
      <c r="Z23" s="120">
        <f>'Revenue matching'!Z23</f>
        <v>0</v>
      </c>
      <c r="AA23" s="120">
        <f>'Revenue matching'!AA23</f>
        <v>90.667330037272208</v>
      </c>
      <c r="AB23" s="120">
        <f>'Revenue matching'!AB23</f>
        <v>90.667330037272208</v>
      </c>
    </row>
    <row r="24" spans="3:30" x14ac:dyDescent="0.25">
      <c r="C24" s="88"/>
      <c r="F24" t="s">
        <v>159</v>
      </c>
      <c r="G24" t="s">
        <v>270</v>
      </c>
      <c r="H24" s="51"/>
      <c r="J24" s="120">
        <f>'Revenue matching'!J24</f>
        <v>0</v>
      </c>
      <c r="K24" s="120">
        <f>'Revenue matching'!K24</f>
        <v>0</v>
      </c>
      <c r="L24" s="120">
        <f>'Revenue matching'!L24</f>
        <v>0</v>
      </c>
      <c r="M24" s="120">
        <f>'Revenue matching'!M24</f>
        <v>0</v>
      </c>
      <c r="N24" s="120">
        <f>'Revenue matching'!N24</f>
        <v>2.498083735110924</v>
      </c>
      <c r="O24" s="120">
        <f>'Revenue matching'!O24</f>
        <v>4.5053338960962241</v>
      </c>
      <c r="P24" s="120">
        <f>'Revenue matching'!P24</f>
        <v>4.9643297738527297</v>
      </c>
      <c r="Q24" s="120">
        <f>'Revenue matching'!Q24</f>
        <v>2.498083735110924</v>
      </c>
      <c r="R24" s="120">
        <f>'Revenue matching'!R24</f>
        <v>4.5053338960962241</v>
      </c>
      <c r="S24" s="120">
        <f>'Revenue matching'!S24</f>
        <v>4.9643297738527297</v>
      </c>
      <c r="T24" s="120">
        <f>'Revenue matching'!T24</f>
        <v>0</v>
      </c>
      <c r="U24" s="120">
        <f>'Revenue matching'!U24</f>
        <v>0</v>
      </c>
      <c r="V24" s="120">
        <f>'Revenue matching'!V24</f>
        <v>0</v>
      </c>
      <c r="W24" s="120">
        <f>'Revenue matching'!W24</f>
        <v>0</v>
      </c>
      <c r="X24" s="120">
        <f>'Revenue matching'!X24</f>
        <v>0</v>
      </c>
      <c r="Y24" s="120">
        <f>'Revenue matching'!Y24</f>
        <v>0</v>
      </c>
      <c r="Z24" s="120">
        <f>'Revenue matching'!Z24</f>
        <v>0</v>
      </c>
      <c r="AA24" s="120">
        <f>'Revenue matching'!AA24</f>
        <v>0</v>
      </c>
      <c r="AB24" s="120">
        <f>'Revenue matching'!AB24</f>
        <v>0</v>
      </c>
    </row>
    <row r="25" spans="3:30" x14ac:dyDescent="0.25">
      <c r="C25" s="88"/>
      <c r="F25" t="s">
        <v>160</v>
      </c>
      <c r="G25" t="s">
        <v>270</v>
      </c>
      <c r="H25" s="51"/>
      <c r="J25" s="120">
        <f>'Revenue matching'!J25</f>
        <v>0</v>
      </c>
      <c r="K25" s="120">
        <f>'Revenue matching'!K25</f>
        <v>0</v>
      </c>
      <c r="L25" s="120">
        <f>'Revenue matching'!L25</f>
        <v>0</v>
      </c>
      <c r="M25" s="120">
        <f>'Revenue matching'!M25</f>
        <v>0</v>
      </c>
      <c r="N25" s="120">
        <f>'Revenue matching'!N25</f>
        <v>3.691279099689118</v>
      </c>
      <c r="O25" s="120">
        <f>'Revenue matching'!O25</f>
        <v>5.1392827901526239</v>
      </c>
      <c r="P25" s="120">
        <f>'Revenue matching'!P25</f>
        <v>6.1243810865470367</v>
      </c>
      <c r="Q25" s="120">
        <f>'Revenue matching'!Q25</f>
        <v>3.691279099689118</v>
      </c>
      <c r="R25" s="120">
        <f>'Revenue matching'!R25</f>
        <v>5.1392827901526239</v>
      </c>
      <c r="S25" s="120">
        <f>'Revenue matching'!S25</f>
        <v>6.1243810865470367</v>
      </c>
      <c r="T25" s="120">
        <f>'Revenue matching'!T25</f>
        <v>0</v>
      </c>
      <c r="U25" s="120">
        <f>'Revenue matching'!U25</f>
        <v>0</v>
      </c>
      <c r="V25" s="120">
        <f>'Revenue matching'!V25</f>
        <v>0</v>
      </c>
      <c r="W25" s="120">
        <f>'Revenue matching'!W25</f>
        <v>0</v>
      </c>
      <c r="X25" s="120">
        <f>'Revenue matching'!X25</f>
        <v>0</v>
      </c>
      <c r="Y25" s="120">
        <f>'Revenue matching'!Y25</f>
        <v>0</v>
      </c>
      <c r="Z25" s="120">
        <f>'Revenue matching'!Z25</f>
        <v>0</v>
      </c>
      <c r="AA25" s="120">
        <f>'Revenue matching'!AA25</f>
        <v>0</v>
      </c>
      <c r="AB25" s="120">
        <f>'Revenue matching'!AB25</f>
        <v>0</v>
      </c>
    </row>
    <row r="26" spans="3:30" x14ac:dyDescent="0.25">
      <c r="C26" s="88"/>
      <c r="F26" s="37" t="s">
        <v>161</v>
      </c>
      <c r="G26" s="37" t="s">
        <v>271</v>
      </c>
      <c r="H26" s="290"/>
      <c r="I26" s="275"/>
      <c r="J26" s="290">
        <f>'Revenue matching'!J26</f>
        <v>0</v>
      </c>
      <c r="K26" s="290">
        <f>'Revenue matching'!K26</f>
        <v>0</v>
      </c>
      <c r="L26" s="290">
        <f>'Revenue matching'!L26</f>
        <v>0</v>
      </c>
      <c r="M26" s="290">
        <f>'Revenue matching'!M26</f>
        <v>0</v>
      </c>
      <c r="N26" s="290">
        <f>'Revenue matching'!N26</f>
        <v>0.23544821131127469</v>
      </c>
      <c r="O26" s="290">
        <f>'Revenue matching'!O26</f>
        <v>0.13709057031775684</v>
      </c>
      <c r="P26" s="290">
        <f>'Revenue matching'!P26</f>
        <v>0.10158869577513742</v>
      </c>
      <c r="Q26" s="290">
        <f>'Revenue matching'!Q26</f>
        <v>0.23544821131127469</v>
      </c>
      <c r="R26" s="290">
        <f>'Revenue matching'!R26</f>
        <v>0.13709057031775684</v>
      </c>
      <c r="S26" s="290">
        <f>'Revenue matching'!S26</f>
        <v>0.10158869577513742</v>
      </c>
      <c r="T26" s="290">
        <f>'Revenue matching'!T26</f>
        <v>0</v>
      </c>
      <c r="U26" s="290">
        <f>'Revenue matching'!U26</f>
        <v>0</v>
      </c>
      <c r="V26" s="290">
        <f>'Revenue matching'!V26</f>
        <v>0</v>
      </c>
      <c r="W26" s="290">
        <f>'Revenue matching'!W26</f>
        <v>0.20319917220642791</v>
      </c>
      <c r="X26" s="290">
        <f>'Revenue matching'!X26</f>
        <v>0</v>
      </c>
      <c r="Y26" s="290">
        <f>'Revenue matching'!Y26</f>
        <v>0.1816089264144457</v>
      </c>
      <c r="Z26" s="290">
        <f>'Revenue matching'!Z26</f>
        <v>0</v>
      </c>
      <c r="AA26" s="290">
        <f>'Revenue matching'!AA26</f>
        <v>0.15574087273376108</v>
      </c>
      <c r="AB26" s="290">
        <f>'Revenue matching'!AB26</f>
        <v>0</v>
      </c>
      <c r="AC26" s="271"/>
      <c r="AD26" s="271"/>
    </row>
    <row r="27" spans="3:30" x14ac:dyDescent="0.25">
      <c r="C27" s="88"/>
      <c r="E27"/>
      <c r="J27" s="89"/>
      <c r="K27" s="89"/>
      <c r="L27" s="89"/>
      <c r="M27" s="89"/>
      <c r="N27" s="89"/>
      <c r="O27" s="89"/>
      <c r="P27" s="89"/>
      <c r="Q27" s="89"/>
      <c r="R27" s="89"/>
      <c r="S27" s="89"/>
      <c r="T27" s="89"/>
      <c r="U27" s="89"/>
      <c r="V27" s="89"/>
      <c r="W27" s="89"/>
      <c r="X27" s="89"/>
      <c r="Y27" s="89"/>
      <c r="Z27" s="89"/>
      <c r="AA27" s="89"/>
      <c r="AB27" s="89"/>
    </row>
    <row r="28" spans="3:30" x14ac:dyDescent="0.25">
      <c r="C28" s="31" t="str">
        <f ca="1">INDEX('Version control'!$H$34:$H$57,MATCH($A$1,'Version control'!$F$34:$F$57,0),1)&amp;"-B: Adder to be applied to unit rates"</f>
        <v>Section 117-B: Adder to be applied to unit rates</v>
      </c>
      <c r="D28" s="31"/>
      <c r="E28" s="31"/>
      <c r="F28" s="31"/>
      <c r="G28" s="31"/>
      <c r="H28" s="31"/>
      <c r="I28" s="31"/>
      <c r="J28" s="90"/>
      <c r="K28" s="90"/>
      <c r="L28" s="90"/>
      <c r="M28" s="90"/>
      <c r="N28" s="90"/>
      <c r="O28" s="90"/>
      <c r="P28" s="90"/>
      <c r="Q28" s="90"/>
      <c r="R28" s="90"/>
      <c r="S28" s="90"/>
      <c r="T28" s="90"/>
      <c r="U28" s="90"/>
      <c r="V28" s="90"/>
      <c r="W28" s="90"/>
      <c r="X28" s="90"/>
      <c r="Y28" s="90"/>
      <c r="Z28" s="90"/>
      <c r="AA28" s="90"/>
      <c r="AB28" s="90"/>
      <c r="AC28" s="31"/>
      <c r="AD28" s="31"/>
    </row>
    <row r="29" spans="3:30" x14ac:dyDescent="0.25">
      <c r="J29" s="89"/>
      <c r="K29" s="89"/>
      <c r="L29" s="89"/>
      <c r="M29" s="89"/>
      <c r="N29" s="89"/>
      <c r="O29" s="89"/>
      <c r="P29" s="89"/>
      <c r="Q29" s="89"/>
      <c r="R29" s="89"/>
      <c r="S29" s="89"/>
      <c r="T29" s="89"/>
      <c r="U29" s="89"/>
      <c r="V29" s="89"/>
      <c r="W29" s="89"/>
      <c r="X29" s="89"/>
      <c r="Y29" s="89"/>
      <c r="Z29" s="89"/>
      <c r="AA29" s="89"/>
      <c r="AB29" s="89"/>
    </row>
    <row r="30" spans="3:30" x14ac:dyDescent="0.25">
      <c r="E30" s="88" t="s">
        <v>796</v>
      </c>
      <c r="J30" s="89"/>
      <c r="K30" s="89"/>
      <c r="L30" s="89"/>
      <c r="M30" s="89"/>
      <c r="N30" s="89"/>
      <c r="O30" s="89"/>
      <c r="P30" s="89"/>
      <c r="Q30" s="89"/>
      <c r="R30" s="89"/>
      <c r="S30" s="89"/>
      <c r="T30" s="89"/>
      <c r="U30" s="89"/>
      <c r="V30" s="89"/>
      <c r="W30" s="89"/>
      <c r="X30" s="89"/>
      <c r="Y30" s="89"/>
      <c r="Z30" s="89"/>
      <c r="AA30" s="89"/>
      <c r="AB30" s="89"/>
    </row>
    <row r="31" spans="3:30" x14ac:dyDescent="0.25">
      <c r="E31" s="29" t="s">
        <v>811</v>
      </c>
      <c r="J31" s="89"/>
      <c r="K31" s="89"/>
      <c r="L31" s="89"/>
      <c r="M31" s="89"/>
      <c r="N31" s="89"/>
      <c r="O31" s="89"/>
      <c r="P31" s="89"/>
      <c r="Q31" s="89"/>
      <c r="R31" s="89"/>
      <c r="S31" s="89"/>
      <c r="T31" s="89"/>
      <c r="U31" s="89"/>
      <c r="V31" s="89"/>
      <c r="W31" s="89"/>
      <c r="X31" s="89"/>
      <c r="Y31" s="89"/>
      <c r="Z31" s="89"/>
      <c r="AA31" s="89"/>
      <c r="AB31" s="89"/>
    </row>
    <row r="32" spans="3:30" x14ac:dyDescent="0.25">
      <c r="E32" s="88"/>
      <c r="F32" s="23" t="s">
        <v>155</v>
      </c>
      <c r="G32" s="23" t="s">
        <v>268</v>
      </c>
      <c r="H32" s="285"/>
      <c r="I32" s="269"/>
      <c r="J32" s="285">
        <f>'Revenue matching'!J139</f>
        <v>1.147104687642698</v>
      </c>
      <c r="K32" s="285">
        <f>'Revenue matching'!K139</f>
        <v>1.147104687642698</v>
      </c>
      <c r="L32" s="285">
        <f>'Revenue matching'!L139</f>
        <v>1.147104687642698</v>
      </c>
      <c r="M32" s="285">
        <f>'Revenue matching'!M139</f>
        <v>1.147104687642698</v>
      </c>
      <c r="N32" s="285">
        <f>'Revenue matching'!N139</f>
        <v>1.147104687642698</v>
      </c>
      <c r="O32" s="285">
        <f>'Revenue matching'!O139</f>
        <v>1.147104687642698</v>
      </c>
      <c r="P32" s="285">
        <f>'Revenue matching'!P139</f>
        <v>1.147104687642698</v>
      </c>
      <c r="Q32" s="285">
        <f>'Revenue matching'!Q139</f>
        <v>0</v>
      </c>
      <c r="R32" s="285">
        <f>'Revenue matching'!R139</f>
        <v>0</v>
      </c>
      <c r="S32" s="285">
        <f>'Revenue matching'!S139</f>
        <v>0</v>
      </c>
      <c r="T32" s="285">
        <f>'Revenue matching'!T139</f>
        <v>1.147104687642698</v>
      </c>
      <c r="U32" s="285">
        <f>'Revenue matching'!U139</f>
        <v>0</v>
      </c>
      <c r="V32" s="285">
        <f>'Revenue matching'!V139</f>
        <v>0</v>
      </c>
      <c r="W32" s="285">
        <f>'Revenue matching'!W139</f>
        <v>0</v>
      </c>
      <c r="X32" s="285">
        <f>'Revenue matching'!X139</f>
        <v>0</v>
      </c>
      <c r="Y32" s="285">
        <f>'Revenue matching'!Y139</f>
        <v>0</v>
      </c>
      <c r="Z32" s="285">
        <f>'Revenue matching'!Z139</f>
        <v>0</v>
      </c>
      <c r="AA32" s="285">
        <f>'Revenue matching'!AA139</f>
        <v>0</v>
      </c>
      <c r="AB32" s="285">
        <f>'Revenue matching'!AB139</f>
        <v>0</v>
      </c>
      <c r="AC32" s="271"/>
      <c r="AD32" s="271"/>
    </row>
    <row r="33" spans="3:30" x14ac:dyDescent="0.25">
      <c r="E33" s="88"/>
      <c r="F33" t="s">
        <v>156</v>
      </c>
      <c r="G33" t="s">
        <v>268</v>
      </c>
      <c r="H33" s="286"/>
      <c r="I33" s="271"/>
      <c r="J33" s="286">
        <f>'Revenue matching'!J140</f>
        <v>1.147104687642698</v>
      </c>
      <c r="K33" s="286">
        <f>'Revenue matching'!K140</f>
        <v>1.147104687642698</v>
      </c>
      <c r="L33" s="286">
        <f>'Revenue matching'!L140</f>
        <v>1.147104687642698</v>
      </c>
      <c r="M33" s="286">
        <f>'Revenue matching'!M140</f>
        <v>1.147104687642698</v>
      </c>
      <c r="N33" s="286">
        <f>'Revenue matching'!N140</f>
        <v>1.147104687642698</v>
      </c>
      <c r="O33" s="286">
        <f>'Revenue matching'!O140</f>
        <v>1.147104687642698</v>
      </c>
      <c r="P33" s="286">
        <f>'Revenue matching'!P140</f>
        <v>1.147104687642698</v>
      </c>
      <c r="Q33" s="286">
        <f>'Revenue matching'!Q140</f>
        <v>0</v>
      </c>
      <c r="R33" s="286">
        <f>'Revenue matching'!R140</f>
        <v>0</v>
      </c>
      <c r="S33" s="286">
        <f>'Revenue matching'!S140</f>
        <v>0</v>
      </c>
      <c r="T33" s="286">
        <f>'Revenue matching'!T140</f>
        <v>1.147104687642698</v>
      </c>
      <c r="U33" s="286">
        <f>'Revenue matching'!U140</f>
        <v>0</v>
      </c>
      <c r="V33" s="286">
        <f>'Revenue matching'!V140</f>
        <v>0</v>
      </c>
      <c r="W33" s="286">
        <f>'Revenue matching'!W140</f>
        <v>0</v>
      </c>
      <c r="X33" s="286">
        <f>'Revenue matching'!X140</f>
        <v>0</v>
      </c>
      <c r="Y33" s="286">
        <f>'Revenue matching'!Y140</f>
        <v>0</v>
      </c>
      <c r="Z33" s="286">
        <f>'Revenue matching'!Z140</f>
        <v>0</v>
      </c>
      <c r="AA33" s="286">
        <f>'Revenue matching'!AA140</f>
        <v>0</v>
      </c>
      <c r="AB33" s="286">
        <f>'Revenue matching'!AB140</f>
        <v>0</v>
      </c>
      <c r="AC33" s="271"/>
      <c r="AD33" s="271"/>
    </row>
    <row r="34" spans="3:30" x14ac:dyDescent="0.25">
      <c r="E34" s="88"/>
      <c r="F34" t="s">
        <v>157</v>
      </c>
      <c r="G34" t="s">
        <v>268</v>
      </c>
      <c r="H34" s="286"/>
      <c r="I34" s="271"/>
      <c r="J34" s="286">
        <f>'Revenue matching'!J141</f>
        <v>1.147104687642698</v>
      </c>
      <c r="K34" s="286">
        <f>'Revenue matching'!K141</f>
        <v>1.147104687642698</v>
      </c>
      <c r="L34" s="286">
        <f>'Revenue matching'!L141</f>
        <v>1.147104687642698</v>
      </c>
      <c r="M34" s="286">
        <f>'Revenue matching'!M141</f>
        <v>1.147104687642698</v>
      </c>
      <c r="N34" s="286">
        <f>'Revenue matching'!N141</f>
        <v>1.147104687642698</v>
      </c>
      <c r="O34" s="286">
        <f>'Revenue matching'!O141</f>
        <v>1.147104687642698</v>
      </c>
      <c r="P34" s="286">
        <f>'Revenue matching'!P141</f>
        <v>1.147104687642698</v>
      </c>
      <c r="Q34" s="286">
        <f>'Revenue matching'!Q141</f>
        <v>0</v>
      </c>
      <c r="R34" s="286">
        <f>'Revenue matching'!R141</f>
        <v>0</v>
      </c>
      <c r="S34" s="286">
        <f>'Revenue matching'!S141</f>
        <v>0</v>
      </c>
      <c r="T34" s="286">
        <f>'Revenue matching'!T141</f>
        <v>1.147104687642698</v>
      </c>
      <c r="U34" s="286">
        <f>'Revenue matching'!U141</f>
        <v>0</v>
      </c>
      <c r="V34" s="286">
        <f>'Revenue matching'!V141</f>
        <v>0</v>
      </c>
      <c r="W34" s="286">
        <f>'Revenue matching'!W141</f>
        <v>0</v>
      </c>
      <c r="X34" s="286">
        <f>'Revenue matching'!X141</f>
        <v>0</v>
      </c>
      <c r="Y34" s="286">
        <f>'Revenue matching'!Y141</f>
        <v>0</v>
      </c>
      <c r="Z34" s="286">
        <f>'Revenue matching'!Z141</f>
        <v>0</v>
      </c>
      <c r="AA34" s="286">
        <f>'Revenue matching'!AA141</f>
        <v>0</v>
      </c>
      <c r="AB34" s="286">
        <f>'Revenue matching'!AB141</f>
        <v>0</v>
      </c>
      <c r="AC34" s="271"/>
      <c r="AD34" s="271"/>
    </row>
    <row r="35" spans="3:30" x14ac:dyDescent="0.25">
      <c r="E35" s="88"/>
      <c r="F35" t="s">
        <v>158</v>
      </c>
      <c r="G35" t="s">
        <v>269</v>
      </c>
      <c r="H35" s="51"/>
      <c r="J35" s="79"/>
      <c r="K35" s="79"/>
      <c r="L35" s="79"/>
      <c r="M35" s="79"/>
      <c r="N35" s="79"/>
      <c r="O35" s="79"/>
      <c r="P35" s="79"/>
      <c r="Q35" s="79"/>
      <c r="R35" s="79"/>
      <c r="S35" s="79"/>
      <c r="T35" s="79"/>
      <c r="U35" s="79"/>
      <c r="V35" s="79"/>
      <c r="W35" s="79"/>
      <c r="X35" s="79"/>
      <c r="Y35" s="79"/>
      <c r="Z35" s="79"/>
      <c r="AA35" s="79"/>
      <c r="AB35" s="79"/>
    </row>
    <row r="36" spans="3:30" x14ac:dyDescent="0.25">
      <c r="E36" s="88"/>
      <c r="F36" t="s">
        <v>159</v>
      </c>
      <c r="G36" t="s">
        <v>270</v>
      </c>
      <c r="H36" s="51"/>
      <c r="J36" s="79"/>
      <c r="K36" s="79"/>
      <c r="L36" s="79"/>
      <c r="M36" s="79"/>
      <c r="N36" s="79"/>
      <c r="O36" s="79"/>
      <c r="P36" s="79"/>
      <c r="Q36" s="79"/>
      <c r="R36" s="79"/>
      <c r="S36" s="79"/>
      <c r="T36" s="79"/>
      <c r="U36" s="79"/>
      <c r="V36" s="79"/>
      <c r="W36" s="79"/>
      <c r="X36" s="79"/>
      <c r="Y36" s="79"/>
      <c r="Z36" s="79"/>
      <c r="AA36" s="79"/>
      <c r="AB36" s="79"/>
    </row>
    <row r="37" spans="3:30" x14ac:dyDescent="0.25">
      <c r="E37" s="88"/>
      <c r="F37" t="s">
        <v>160</v>
      </c>
      <c r="G37" t="s">
        <v>270</v>
      </c>
      <c r="H37" s="51"/>
      <c r="J37" s="79"/>
      <c r="K37" s="79"/>
      <c r="L37" s="79"/>
      <c r="M37" s="79"/>
      <c r="N37" s="79"/>
      <c r="O37" s="79"/>
      <c r="P37" s="79"/>
      <c r="Q37" s="79"/>
      <c r="R37" s="79"/>
      <c r="S37" s="79"/>
      <c r="T37" s="79"/>
      <c r="U37" s="79"/>
      <c r="V37" s="79"/>
      <c r="W37" s="79"/>
      <c r="X37" s="79"/>
      <c r="Y37" s="79"/>
      <c r="Z37" s="79"/>
      <c r="AA37" s="79"/>
      <c r="AB37" s="79"/>
    </row>
    <row r="38" spans="3:30" x14ac:dyDescent="0.25">
      <c r="E38" s="88"/>
      <c r="F38" s="37" t="s">
        <v>161</v>
      </c>
      <c r="G38" s="37" t="s">
        <v>271</v>
      </c>
      <c r="H38" s="290"/>
      <c r="I38" s="275"/>
      <c r="J38" s="276"/>
      <c r="K38" s="276"/>
      <c r="L38" s="276"/>
      <c r="M38" s="276"/>
      <c r="N38" s="276"/>
      <c r="O38" s="276"/>
      <c r="P38" s="276"/>
      <c r="Q38" s="276"/>
      <c r="R38" s="276"/>
      <c r="S38" s="276"/>
      <c r="T38" s="276"/>
      <c r="U38" s="276"/>
      <c r="V38" s="276"/>
      <c r="W38" s="276"/>
      <c r="X38" s="276"/>
      <c r="Y38" s="276"/>
      <c r="Z38" s="276"/>
      <c r="AA38" s="276"/>
      <c r="AB38" s="276"/>
      <c r="AC38" s="271"/>
      <c r="AD38" s="271"/>
    </row>
    <row r="39" spans="3:30" x14ac:dyDescent="0.25">
      <c r="D39" s="88"/>
      <c r="E39"/>
    </row>
    <row r="40" spans="3:30" x14ac:dyDescent="0.25">
      <c r="C40" s="31" t="str">
        <f ca="1">INDEX('Version control'!$H$34:$H$57,MATCH($A$1,'Version control'!$F$34:$F$57,0),1)&amp;"-C: Adder to be applied to fixed charge"</f>
        <v>Section 117-C: Adder to be applied to fixed charge</v>
      </c>
      <c r="D40" s="31"/>
      <c r="E40" s="31"/>
      <c r="F40" s="31"/>
      <c r="G40" s="31"/>
      <c r="H40" s="31"/>
      <c r="I40" s="31"/>
      <c r="J40" s="31"/>
      <c r="K40" s="31"/>
      <c r="L40" s="31"/>
      <c r="M40" s="31"/>
      <c r="N40" s="31"/>
      <c r="O40" s="31"/>
      <c r="P40" s="31"/>
      <c r="Q40" s="31"/>
      <c r="R40" s="31"/>
      <c r="S40" s="31"/>
      <c r="T40" s="31"/>
      <c r="U40" s="31"/>
      <c r="V40" s="31"/>
      <c r="W40" s="31"/>
      <c r="X40" s="31"/>
      <c r="Y40" s="31"/>
      <c r="Z40" s="31"/>
      <c r="AA40" s="31"/>
      <c r="AB40" s="31"/>
    </row>
    <row r="42" spans="3:30" x14ac:dyDescent="0.25">
      <c r="E42" s="88" t="s">
        <v>1003</v>
      </c>
    </row>
    <row r="43" spans="3:30" x14ac:dyDescent="0.25">
      <c r="E43" s="29" t="s">
        <v>1004</v>
      </c>
    </row>
    <row r="44" spans="3:30" x14ac:dyDescent="0.25">
      <c r="E44" s="88"/>
      <c r="F44" s="23" t="s">
        <v>155</v>
      </c>
      <c r="G44" s="23" t="s">
        <v>268</v>
      </c>
      <c r="H44" s="285"/>
      <c r="I44" s="269"/>
      <c r="J44" s="83"/>
      <c r="K44" s="83"/>
      <c r="L44" s="83"/>
      <c r="M44" s="83"/>
      <c r="N44" s="83"/>
      <c r="O44" s="83"/>
      <c r="P44" s="83"/>
      <c r="Q44" s="83"/>
      <c r="R44" s="83"/>
      <c r="S44" s="83"/>
      <c r="T44" s="83"/>
      <c r="U44" s="83"/>
      <c r="V44" s="83"/>
      <c r="W44" s="83"/>
      <c r="X44" s="83"/>
      <c r="Y44" s="83"/>
      <c r="Z44" s="83"/>
      <c r="AA44" s="83"/>
      <c r="AB44" s="83"/>
    </row>
    <row r="45" spans="3:30" x14ac:dyDescent="0.25">
      <c r="E45" s="88"/>
      <c r="F45" t="s">
        <v>156</v>
      </c>
      <c r="G45" t="s">
        <v>268</v>
      </c>
      <c r="H45" s="286"/>
      <c r="I45" s="271"/>
      <c r="J45" s="79"/>
      <c r="K45" s="79"/>
      <c r="L45" s="79"/>
      <c r="M45" s="79"/>
      <c r="N45" s="79"/>
      <c r="O45" s="79"/>
      <c r="P45" s="79"/>
      <c r="Q45" s="79"/>
      <c r="R45" s="79"/>
      <c r="S45" s="79"/>
      <c r="T45" s="79"/>
      <c r="U45" s="79"/>
      <c r="V45" s="79"/>
      <c r="W45" s="79"/>
      <c r="X45" s="79"/>
      <c r="Y45" s="79"/>
      <c r="Z45" s="79"/>
      <c r="AA45" s="79"/>
      <c r="AB45" s="79"/>
    </row>
    <row r="46" spans="3:30" x14ac:dyDescent="0.25">
      <c r="E46" s="88"/>
      <c r="F46" t="s">
        <v>157</v>
      </c>
      <c r="G46" t="s">
        <v>268</v>
      </c>
      <c r="H46" s="286"/>
      <c r="I46" s="271"/>
      <c r="J46" s="79"/>
      <c r="K46" s="79"/>
      <c r="L46" s="79"/>
      <c r="M46" s="79"/>
      <c r="N46" s="79"/>
      <c r="O46" s="79"/>
      <c r="P46" s="79"/>
      <c r="Q46" s="79"/>
      <c r="R46" s="79"/>
      <c r="S46" s="79"/>
      <c r="T46" s="79"/>
      <c r="U46" s="79"/>
      <c r="V46" s="79"/>
      <c r="W46" s="79"/>
      <c r="X46" s="79"/>
      <c r="Y46" s="79"/>
      <c r="Z46" s="79"/>
      <c r="AA46" s="79"/>
      <c r="AB46" s="79"/>
    </row>
    <row r="47" spans="3:30" x14ac:dyDescent="0.25">
      <c r="E47" s="88"/>
      <c r="F47" t="s">
        <v>158</v>
      </c>
      <c r="G47" t="s">
        <v>269</v>
      </c>
      <c r="H47" s="51"/>
      <c r="J47" s="120">
        <f>'Fixed charge adder'!J46</f>
        <v>0.1918907862699662</v>
      </c>
      <c r="K47" s="120">
        <f>'Fixed charge adder'!K46</f>
        <v>0</v>
      </c>
      <c r="L47" s="120">
        <f>'Fixed charge adder'!L46</f>
        <v>0.18529588547307707</v>
      </c>
      <c r="M47" s="120">
        <f>'Fixed charge adder'!M46</f>
        <v>0</v>
      </c>
      <c r="N47" s="120">
        <f>'Fixed charge adder'!N46</f>
        <v>0.18529588547307707</v>
      </c>
      <c r="O47" s="120">
        <f>'Fixed charge adder'!O46</f>
        <v>0.18529588547307707</v>
      </c>
      <c r="P47" s="120">
        <f>'Fixed charge adder'!P46</f>
        <v>0.18529588547307707</v>
      </c>
      <c r="Q47" s="120">
        <f>'Fixed charge adder'!Q46</f>
        <v>0.18529588547307707</v>
      </c>
      <c r="R47" s="120">
        <f>'Fixed charge adder'!R46</f>
        <v>0.18529588547307707</v>
      </c>
      <c r="S47" s="120">
        <f>'Fixed charge adder'!S46</f>
        <v>0.18529588547307707</v>
      </c>
      <c r="T47" s="120">
        <f>'Fixed charge adder'!T46</f>
        <v>0</v>
      </c>
      <c r="U47" s="120">
        <f>'Fixed charge adder'!U46</f>
        <v>0</v>
      </c>
      <c r="V47" s="120">
        <f>'Fixed charge adder'!V46</f>
        <v>0</v>
      </c>
      <c r="W47" s="120">
        <f>'Fixed charge adder'!W46</f>
        <v>0</v>
      </c>
      <c r="X47" s="120">
        <f>'Fixed charge adder'!X46</f>
        <v>0</v>
      </c>
      <c r="Y47" s="120">
        <f>'Fixed charge adder'!Y46</f>
        <v>0</v>
      </c>
      <c r="Z47" s="120">
        <f>'Fixed charge adder'!Z46</f>
        <v>0</v>
      </c>
      <c r="AA47" s="120">
        <f>'Fixed charge adder'!AA46</f>
        <v>0</v>
      </c>
      <c r="AB47" s="120">
        <f>'Fixed charge adder'!AB46</f>
        <v>0</v>
      </c>
    </row>
    <row r="48" spans="3:30" x14ac:dyDescent="0.25">
      <c r="E48" s="88"/>
      <c r="F48" t="s">
        <v>159</v>
      </c>
      <c r="G48" t="s">
        <v>270</v>
      </c>
      <c r="H48" s="51"/>
      <c r="J48" s="79"/>
      <c r="K48" s="79"/>
      <c r="L48" s="79"/>
      <c r="M48" s="79"/>
      <c r="N48" s="79"/>
      <c r="O48" s="79"/>
      <c r="P48" s="79"/>
      <c r="Q48" s="79"/>
      <c r="R48" s="79"/>
      <c r="S48" s="79"/>
      <c r="T48" s="79"/>
      <c r="U48" s="79"/>
      <c r="V48" s="79"/>
      <c r="W48" s="79"/>
      <c r="X48" s="79"/>
      <c r="Y48" s="79"/>
      <c r="Z48" s="79"/>
      <c r="AA48" s="79"/>
      <c r="AB48" s="79"/>
    </row>
    <row r="49" spans="3:30" x14ac:dyDescent="0.25">
      <c r="E49" s="88"/>
      <c r="F49" t="s">
        <v>160</v>
      </c>
      <c r="G49" t="s">
        <v>270</v>
      </c>
      <c r="H49" s="51"/>
      <c r="J49" s="79"/>
      <c r="K49" s="79"/>
      <c r="L49" s="79"/>
      <c r="M49" s="79"/>
      <c r="N49" s="79"/>
      <c r="O49" s="79"/>
      <c r="P49" s="79"/>
      <c r="Q49" s="79"/>
      <c r="R49" s="79"/>
      <c r="S49" s="79"/>
      <c r="T49" s="79"/>
      <c r="U49" s="79"/>
      <c r="V49" s="79"/>
      <c r="W49" s="79"/>
      <c r="X49" s="79"/>
      <c r="Y49" s="79"/>
      <c r="Z49" s="79"/>
      <c r="AA49" s="79"/>
      <c r="AB49" s="79"/>
    </row>
    <row r="50" spans="3:30" x14ac:dyDescent="0.25">
      <c r="E50" s="88"/>
      <c r="F50" s="37" t="s">
        <v>161</v>
      </c>
      <c r="G50" s="37" t="s">
        <v>271</v>
      </c>
      <c r="H50" s="290"/>
      <c r="I50" s="275"/>
      <c r="J50" s="276"/>
      <c r="K50" s="276"/>
      <c r="L50" s="276"/>
      <c r="M50" s="276"/>
      <c r="N50" s="276"/>
      <c r="O50" s="276"/>
      <c r="P50" s="276"/>
      <c r="Q50" s="276"/>
      <c r="R50" s="276"/>
      <c r="S50" s="276"/>
      <c r="T50" s="276"/>
      <c r="U50" s="276"/>
      <c r="V50" s="276"/>
      <c r="W50" s="276"/>
      <c r="X50" s="276"/>
      <c r="Y50" s="276"/>
      <c r="Z50" s="276"/>
      <c r="AA50" s="276"/>
      <c r="AB50" s="276"/>
    </row>
    <row r="51" spans="3:30" x14ac:dyDescent="0.25">
      <c r="D51" s="88"/>
      <c r="E51"/>
    </row>
    <row r="52" spans="3:30" x14ac:dyDescent="0.25">
      <c r="C52" s="31" t="str">
        <f ca="1">INDEX('Version control'!$H$34:$H$57,MATCH($A$1,'Version control'!$F$34:$F$57,0),1)&amp;"-D: LDNO discounts"</f>
        <v>Section 117-D: LDNO discounts</v>
      </c>
      <c r="D52" s="31"/>
      <c r="E52" s="31"/>
      <c r="F52" s="31"/>
      <c r="G52" s="31"/>
      <c r="H52" s="31"/>
      <c r="I52" s="31"/>
      <c r="J52" s="31"/>
      <c r="K52" s="31"/>
      <c r="L52" s="31"/>
      <c r="M52" s="31"/>
      <c r="N52" s="31"/>
      <c r="O52" s="31"/>
      <c r="P52" s="31"/>
      <c r="Q52" s="31"/>
      <c r="R52" s="31"/>
      <c r="S52" s="31"/>
      <c r="T52" s="31"/>
      <c r="U52" s="31"/>
      <c r="V52" s="31"/>
      <c r="W52" s="31"/>
      <c r="X52" s="31"/>
      <c r="Y52" s="31"/>
      <c r="Z52" s="31"/>
      <c r="AA52" s="31"/>
      <c r="AB52" s="31"/>
      <c r="AC52" s="31"/>
      <c r="AD52" s="31"/>
    </row>
    <row r="54" spans="3:30" x14ac:dyDescent="0.25">
      <c r="D54"/>
      <c r="E54" s="88" t="s">
        <v>812</v>
      </c>
      <c r="I54" t="s">
        <v>153</v>
      </c>
      <c r="AD54" t="s">
        <v>427</v>
      </c>
    </row>
    <row r="55" spans="3:30" x14ac:dyDescent="0.25">
      <c r="D55"/>
      <c r="E55" s="88"/>
      <c r="F55" s="23" t="s">
        <v>155</v>
      </c>
      <c r="G55" s="23" t="s">
        <v>166</v>
      </c>
      <c r="H55" s="174"/>
      <c r="I55" s="23"/>
      <c r="J55" s="107">
        <f>'Volume adjustments'!J$62</f>
        <v>0.39067242808448932</v>
      </c>
      <c r="K55" s="107">
        <f>'Volume adjustments'!K$62</f>
        <v>0.39067242808448932</v>
      </c>
      <c r="L55" s="107">
        <f>'Volume adjustments'!L$62</f>
        <v>0.39067242808448932</v>
      </c>
      <c r="M55" s="107">
        <f>'Volume adjustments'!M$62</f>
        <v>0.39067242808448932</v>
      </c>
      <c r="N55" s="107">
        <f>'Volume adjustments'!N$62</f>
        <v>0.39067242808448932</v>
      </c>
      <c r="O55" s="107">
        <f>'Volume adjustments'!O$62</f>
        <v>0</v>
      </c>
      <c r="P55" s="107">
        <f>'Volume adjustments'!P$62</f>
        <v>0</v>
      </c>
      <c r="Q55" s="107">
        <f>'Volume adjustments'!Q$62</f>
        <v>0.39067242808448932</v>
      </c>
      <c r="R55" s="107">
        <f>'Volume adjustments'!R$62</f>
        <v>0</v>
      </c>
      <c r="S55" s="107">
        <f>'Volume adjustments'!S$62</f>
        <v>0</v>
      </c>
      <c r="T55" s="107">
        <f>'Volume adjustments'!T$62</f>
        <v>0.39067242808448932</v>
      </c>
      <c r="U55" s="107">
        <f>'Volume adjustments'!U$62</f>
        <v>0</v>
      </c>
      <c r="V55" s="107">
        <f>'Volume adjustments'!V$62</f>
        <v>0</v>
      </c>
      <c r="W55" s="107">
        <f>'Volume adjustments'!W$62</f>
        <v>0</v>
      </c>
      <c r="X55" s="107">
        <f>'Volume adjustments'!X$62</f>
        <v>0</v>
      </c>
      <c r="Y55" s="107">
        <f>'Volume adjustments'!Y$62</f>
        <v>0</v>
      </c>
      <c r="Z55" s="107">
        <f>'Volume adjustments'!Z$62</f>
        <v>0</v>
      </c>
      <c r="AA55" s="107">
        <f>'Volume adjustments'!AA$62</f>
        <v>0</v>
      </c>
      <c r="AB55" s="107">
        <f>'Volume adjustments'!AB$62</f>
        <v>0</v>
      </c>
    </row>
    <row r="56" spans="3:30" x14ac:dyDescent="0.25">
      <c r="D56"/>
      <c r="E56" s="88"/>
      <c r="F56" t="s">
        <v>156</v>
      </c>
      <c r="G56" t="s">
        <v>166</v>
      </c>
      <c r="H56" s="51"/>
      <c r="J56" s="25">
        <f>'Volume adjustments'!J$73</f>
        <v>0.39067242808448932</v>
      </c>
      <c r="K56" s="25">
        <f>'Volume adjustments'!K$73</f>
        <v>0.39067242808448932</v>
      </c>
      <c r="L56" s="25">
        <f>'Volume adjustments'!L$73</f>
        <v>0.39067242808448932</v>
      </c>
      <c r="M56" s="25">
        <f>'Volume adjustments'!M$73</f>
        <v>0.39067242808448932</v>
      </c>
      <c r="N56" s="25">
        <f>'Volume adjustments'!N$73</f>
        <v>0.39067242808448932</v>
      </c>
      <c r="O56" s="25">
        <f>'Volume adjustments'!O$73</f>
        <v>0</v>
      </c>
      <c r="P56" s="25">
        <f>'Volume adjustments'!P$73</f>
        <v>0</v>
      </c>
      <c r="Q56" s="25">
        <f>'Volume adjustments'!Q$73</f>
        <v>0.39067242808448932</v>
      </c>
      <c r="R56" s="25">
        <f>'Volume adjustments'!R$73</f>
        <v>0</v>
      </c>
      <c r="S56" s="25">
        <f>'Volume adjustments'!S$73</f>
        <v>0</v>
      </c>
      <c r="T56" s="25">
        <f>'Volume adjustments'!T$73</f>
        <v>0.39067242808448932</v>
      </c>
      <c r="U56" s="25">
        <f>'Volume adjustments'!U$73</f>
        <v>0</v>
      </c>
      <c r="V56" s="25">
        <f>'Volume adjustments'!V$73</f>
        <v>0</v>
      </c>
      <c r="W56" s="25">
        <f>'Volume adjustments'!W$73</f>
        <v>0</v>
      </c>
      <c r="X56" s="25">
        <f>'Volume adjustments'!X$73</f>
        <v>0</v>
      </c>
      <c r="Y56" s="25">
        <f>'Volume adjustments'!Y$73</f>
        <v>0</v>
      </c>
      <c r="Z56" s="25">
        <f>'Volume adjustments'!Z$73</f>
        <v>0</v>
      </c>
      <c r="AA56" s="25">
        <f>'Volume adjustments'!AA$73</f>
        <v>0</v>
      </c>
      <c r="AB56" s="25">
        <f>'Volume adjustments'!AB$73</f>
        <v>0</v>
      </c>
    </row>
    <row r="57" spans="3:30" x14ac:dyDescent="0.25">
      <c r="D57"/>
      <c r="E57" s="88"/>
      <c r="F57" t="s">
        <v>157</v>
      </c>
      <c r="G57" t="s">
        <v>166</v>
      </c>
      <c r="H57" s="51"/>
      <c r="J57" s="25">
        <f>'Volume adjustments'!J$84</f>
        <v>0.39067242808448932</v>
      </c>
      <c r="K57" s="25">
        <f>'Volume adjustments'!K$84</f>
        <v>0.39067242808448932</v>
      </c>
      <c r="L57" s="25">
        <f>'Volume adjustments'!L$84</f>
        <v>0.39067242808448932</v>
      </c>
      <c r="M57" s="25">
        <f>'Volume adjustments'!M$84</f>
        <v>0.39067242808448932</v>
      </c>
      <c r="N57" s="25">
        <f>'Volume adjustments'!N$84</f>
        <v>0.39067242808448932</v>
      </c>
      <c r="O57" s="25">
        <f>'Volume adjustments'!O$84</f>
        <v>0</v>
      </c>
      <c r="P57" s="25">
        <f>'Volume adjustments'!P$84</f>
        <v>0</v>
      </c>
      <c r="Q57" s="25">
        <f>'Volume adjustments'!Q$84</f>
        <v>0.39067242808448932</v>
      </c>
      <c r="R57" s="25">
        <f>'Volume adjustments'!R$84</f>
        <v>0</v>
      </c>
      <c r="S57" s="25">
        <f>'Volume adjustments'!S$84</f>
        <v>0</v>
      </c>
      <c r="T57" s="25">
        <f>'Volume adjustments'!T$84</f>
        <v>0.39067242808448932</v>
      </c>
      <c r="U57" s="25">
        <f>'Volume adjustments'!U$84</f>
        <v>0</v>
      </c>
      <c r="V57" s="25">
        <f>'Volume adjustments'!V$84</f>
        <v>0</v>
      </c>
      <c r="W57" s="25">
        <f>'Volume adjustments'!W$84</f>
        <v>0</v>
      </c>
      <c r="X57" s="25">
        <f>'Volume adjustments'!X$84</f>
        <v>0</v>
      </c>
      <c r="Y57" s="25">
        <f>'Volume adjustments'!Y$84</f>
        <v>0</v>
      </c>
      <c r="Z57" s="25">
        <f>'Volume adjustments'!Z$84</f>
        <v>0</v>
      </c>
      <c r="AA57" s="25">
        <f>'Volume adjustments'!AA$84</f>
        <v>0</v>
      </c>
      <c r="AB57" s="25">
        <f>'Volume adjustments'!AB$84</f>
        <v>0</v>
      </c>
    </row>
    <row r="58" spans="3:30" x14ac:dyDescent="0.25">
      <c r="D58"/>
      <c r="E58" s="88"/>
      <c r="F58" t="s">
        <v>158</v>
      </c>
      <c r="G58" t="s">
        <v>166</v>
      </c>
      <c r="H58" s="51"/>
      <c r="J58" s="25">
        <f>'Volume adjustments'!J$99</f>
        <v>0.39067242808448932</v>
      </c>
      <c r="K58" s="25">
        <f>'Volume adjustments'!K$99</f>
        <v>0.39067242808448932</v>
      </c>
      <c r="L58" s="25">
        <f>'Volume adjustments'!L$99</f>
        <v>0.39067242808448932</v>
      </c>
      <c r="M58" s="25">
        <f>'Volume adjustments'!M$99</f>
        <v>0.39067242808448932</v>
      </c>
      <c r="N58" s="25">
        <f>'Volume adjustments'!N$99</f>
        <v>0.39067242808448932</v>
      </c>
      <c r="O58" s="25">
        <f>'Volume adjustments'!O$99</f>
        <v>0</v>
      </c>
      <c r="P58" s="25">
        <f>'Volume adjustments'!P$99</f>
        <v>0</v>
      </c>
      <c r="Q58" s="25">
        <f>'Volume adjustments'!Q$99</f>
        <v>0.39067242808448932</v>
      </c>
      <c r="R58" s="25">
        <f>'Volume adjustments'!R$99</f>
        <v>0</v>
      </c>
      <c r="S58" s="25">
        <f>'Volume adjustments'!S$99</f>
        <v>0</v>
      </c>
      <c r="T58" s="25">
        <f>'Volume adjustments'!T$99</f>
        <v>0.39067242808448932</v>
      </c>
      <c r="U58" s="25">
        <f>'Volume adjustments'!U$99</f>
        <v>1</v>
      </c>
      <c r="V58" s="25">
        <f>'Volume adjustments'!V$99</f>
        <v>1</v>
      </c>
      <c r="W58" s="25">
        <f>'Volume adjustments'!W$99</f>
        <v>1</v>
      </c>
      <c r="X58" s="25">
        <f>'Volume adjustments'!X$99</f>
        <v>1</v>
      </c>
      <c r="Y58" s="25">
        <f>'Volume adjustments'!Y$99</f>
        <v>1</v>
      </c>
      <c r="Z58" s="25">
        <f>'Volume adjustments'!Z$99</f>
        <v>1</v>
      </c>
      <c r="AA58" s="25">
        <f>'Volume adjustments'!AA$99</f>
        <v>1</v>
      </c>
      <c r="AB58" s="25">
        <f>'Volume adjustments'!AB$99</f>
        <v>1</v>
      </c>
    </row>
    <row r="59" spans="3:30" x14ac:dyDescent="0.25">
      <c r="D59"/>
      <c r="E59" s="88"/>
      <c r="F59" t="s">
        <v>159</v>
      </c>
      <c r="G59" t="s">
        <v>166</v>
      </c>
      <c r="H59" s="51"/>
      <c r="J59" s="25">
        <f>'Volume adjustments'!J$110</f>
        <v>0.39067242808448932</v>
      </c>
      <c r="K59" s="25">
        <f>'Volume adjustments'!K$110</f>
        <v>0.39067242808448932</v>
      </c>
      <c r="L59" s="25">
        <f>'Volume adjustments'!L$110</f>
        <v>0.39067242808448932</v>
      </c>
      <c r="M59" s="25">
        <f>'Volume adjustments'!M$110</f>
        <v>0.39067242808448932</v>
      </c>
      <c r="N59" s="25">
        <f>'Volume adjustments'!N$110</f>
        <v>0.39067242808448932</v>
      </c>
      <c r="O59" s="25">
        <f>'Volume adjustments'!O$110</f>
        <v>0</v>
      </c>
      <c r="P59" s="25">
        <f>'Volume adjustments'!P$110</f>
        <v>0</v>
      </c>
      <c r="Q59" s="25">
        <f>'Volume adjustments'!Q$110</f>
        <v>0.39067242808448932</v>
      </c>
      <c r="R59" s="25">
        <f>'Volume adjustments'!R$110</f>
        <v>0</v>
      </c>
      <c r="S59" s="25">
        <f>'Volume adjustments'!S$110</f>
        <v>0</v>
      </c>
      <c r="T59" s="25">
        <f>'Volume adjustments'!T$110</f>
        <v>0.39067242808448932</v>
      </c>
      <c r="U59" s="25">
        <f>'Volume adjustments'!U$110</f>
        <v>0</v>
      </c>
      <c r="V59" s="25">
        <f>'Volume adjustments'!V$110</f>
        <v>0</v>
      </c>
      <c r="W59" s="25">
        <f>'Volume adjustments'!W$110</f>
        <v>0</v>
      </c>
      <c r="X59" s="25">
        <f>'Volume adjustments'!X$110</f>
        <v>0</v>
      </c>
      <c r="Y59" s="25">
        <f>'Volume adjustments'!Y$110</f>
        <v>0</v>
      </c>
      <c r="Z59" s="25">
        <f>'Volume adjustments'!Z$110</f>
        <v>0</v>
      </c>
      <c r="AA59" s="25">
        <f>'Volume adjustments'!AA$110</f>
        <v>0</v>
      </c>
      <c r="AB59" s="25">
        <f>'Volume adjustments'!AB$110</f>
        <v>0</v>
      </c>
    </row>
    <row r="60" spans="3:30" x14ac:dyDescent="0.25">
      <c r="D60"/>
      <c r="E60" s="88"/>
      <c r="F60" t="s">
        <v>160</v>
      </c>
      <c r="G60" t="s">
        <v>166</v>
      </c>
      <c r="H60" s="51"/>
      <c r="J60" s="25">
        <f>'Volume adjustments'!J$121</f>
        <v>0.39067242808448932</v>
      </c>
      <c r="K60" s="25">
        <f>'Volume adjustments'!K$121</f>
        <v>0.39067242808448932</v>
      </c>
      <c r="L60" s="25">
        <f>'Volume adjustments'!L$121</f>
        <v>0.39067242808448932</v>
      </c>
      <c r="M60" s="25">
        <f>'Volume adjustments'!M$121</f>
        <v>0.39067242808448932</v>
      </c>
      <c r="N60" s="25">
        <f>'Volume adjustments'!N$121</f>
        <v>0.39067242808448932</v>
      </c>
      <c r="O60" s="25">
        <f>'Volume adjustments'!O$121</f>
        <v>0</v>
      </c>
      <c r="P60" s="25">
        <f>'Volume adjustments'!P$121</f>
        <v>0</v>
      </c>
      <c r="Q60" s="25">
        <f>'Volume adjustments'!Q$121</f>
        <v>0.39067242808448932</v>
      </c>
      <c r="R60" s="25">
        <f>'Volume adjustments'!R$121</f>
        <v>0</v>
      </c>
      <c r="S60" s="25">
        <f>'Volume adjustments'!S$121</f>
        <v>0</v>
      </c>
      <c r="T60" s="25">
        <f>'Volume adjustments'!T$121</f>
        <v>0.39067242808448932</v>
      </c>
      <c r="U60" s="25">
        <f>'Volume adjustments'!U$121</f>
        <v>0</v>
      </c>
      <c r="V60" s="25">
        <f>'Volume adjustments'!V$121</f>
        <v>0</v>
      </c>
      <c r="W60" s="25">
        <f>'Volume adjustments'!W$121</f>
        <v>0</v>
      </c>
      <c r="X60" s="25">
        <f>'Volume adjustments'!X$121</f>
        <v>0</v>
      </c>
      <c r="Y60" s="25">
        <f>'Volume adjustments'!Y$121</f>
        <v>0</v>
      </c>
      <c r="Z60" s="25">
        <f>'Volume adjustments'!Z$121</f>
        <v>0</v>
      </c>
      <c r="AA60" s="25">
        <f>'Volume adjustments'!AA$121</f>
        <v>0</v>
      </c>
      <c r="AB60" s="25">
        <f>'Volume adjustments'!AB$121</f>
        <v>0</v>
      </c>
    </row>
    <row r="61" spans="3:30" x14ac:dyDescent="0.25">
      <c r="D61"/>
      <c r="E61" s="88"/>
      <c r="F61" s="37" t="s">
        <v>161</v>
      </c>
      <c r="G61" s="37" t="s">
        <v>166</v>
      </c>
      <c r="H61" s="215"/>
      <c r="I61" s="37"/>
      <c r="J61" s="141">
        <f>'Volume adjustments'!J$132</f>
        <v>0.39067242808448932</v>
      </c>
      <c r="K61" s="141">
        <f>'Volume adjustments'!K$132</f>
        <v>0.39067242808448932</v>
      </c>
      <c r="L61" s="141">
        <f>'Volume adjustments'!L$132</f>
        <v>0.39067242808448932</v>
      </c>
      <c r="M61" s="141">
        <f>'Volume adjustments'!M$132</f>
        <v>0.39067242808448932</v>
      </c>
      <c r="N61" s="141">
        <f>'Volume adjustments'!N$132</f>
        <v>0.39067242808448932</v>
      </c>
      <c r="O61" s="141">
        <f>'Volume adjustments'!O$132</f>
        <v>0</v>
      </c>
      <c r="P61" s="141">
        <f>'Volume adjustments'!P$132</f>
        <v>0</v>
      </c>
      <c r="Q61" s="141">
        <f>'Volume adjustments'!Q$132</f>
        <v>0.39067242808448932</v>
      </c>
      <c r="R61" s="141">
        <f>'Volume adjustments'!R$132</f>
        <v>0</v>
      </c>
      <c r="S61" s="141">
        <f>'Volume adjustments'!S$132</f>
        <v>0</v>
      </c>
      <c r="T61" s="141">
        <f>'Volume adjustments'!T$132</f>
        <v>0.39067242808448932</v>
      </c>
      <c r="U61" s="141">
        <f>'Volume adjustments'!U$132</f>
        <v>0</v>
      </c>
      <c r="V61" s="141">
        <f>'Volume adjustments'!V$132</f>
        <v>0</v>
      </c>
      <c r="W61" s="141">
        <f>'Volume adjustments'!W$132</f>
        <v>0</v>
      </c>
      <c r="X61" s="141">
        <f>'Volume adjustments'!X$132</f>
        <v>0</v>
      </c>
      <c r="Y61" s="141">
        <f>'Volume adjustments'!Y$132</f>
        <v>0</v>
      </c>
      <c r="Z61" s="141">
        <f>'Volume adjustments'!Z$132</f>
        <v>0</v>
      </c>
      <c r="AA61" s="141">
        <f>'Volume adjustments'!AA$132</f>
        <v>0</v>
      </c>
      <c r="AB61" s="141">
        <f>'Volume adjustments'!AB$132</f>
        <v>0</v>
      </c>
    </row>
    <row r="62" spans="3:30" x14ac:dyDescent="0.25">
      <c r="D62" s="88"/>
      <c r="E62"/>
    </row>
    <row r="63" spans="3:30" x14ac:dyDescent="0.25">
      <c r="D63"/>
      <c r="E63" s="88" t="s">
        <v>813</v>
      </c>
      <c r="I63" t="s">
        <v>153</v>
      </c>
      <c r="AD63" t="s">
        <v>427</v>
      </c>
    </row>
    <row r="64" spans="3:30" x14ac:dyDescent="0.25">
      <c r="D64"/>
      <c r="E64" s="88"/>
      <c r="F64" s="23" t="s">
        <v>155</v>
      </c>
      <c r="G64" s="23" t="s">
        <v>166</v>
      </c>
      <c r="H64" s="174"/>
      <c r="I64" s="23"/>
      <c r="J64" s="107">
        <f>'Volume adjustments'!J$63</f>
        <v>0.60361788113874959</v>
      </c>
      <c r="K64" s="107">
        <f>'Volume adjustments'!K$63</f>
        <v>0.60361788113874959</v>
      </c>
      <c r="L64" s="107">
        <f>'Volume adjustments'!L$63</f>
        <v>0.60361788113874959</v>
      </c>
      <c r="M64" s="107">
        <f>'Volume adjustments'!M$63</f>
        <v>0.60361788113874959</v>
      </c>
      <c r="N64" s="107">
        <f>'Volume adjustments'!N$63</f>
        <v>0.60361788113874959</v>
      </c>
      <c r="O64" s="107">
        <f>'Volume adjustments'!O$63</f>
        <v>0.34819248571328243</v>
      </c>
      <c r="P64" s="107">
        <f>'Volume adjustments'!P$63</f>
        <v>0.25174009320591562</v>
      </c>
      <c r="Q64" s="107">
        <f>'Volume adjustments'!Q$63</f>
        <v>0.60361788113874959</v>
      </c>
      <c r="R64" s="107">
        <f>'Volume adjustments'!R$63</f>
        <v>0.34819248571328243</v>
      </c>
      <c r="S64" s="107">
        <f>'Volume adjustments'!S$63</f>
        <v>0.25174009320591562</v>
      </c>
      <c r="T64" s="107">
        <f>'Volume adjustments'!T$63</f>
        <v>0.60361788113874959</v>
      </c>
      <c r="U64" s="107">
        <f>'Volume adjustments'!U$63</f>
        <v>0</v>
      </c>
      <c r="V64" s="107">
        <f>'Volume adjustments'!V$63</f>
        <v>0</v>
      </c>
      <c r="W64" s="107">
        <f>'Volume adjustments'!W$63</f>
        <v>0</v>
      </c>
      <c r="X64" s="107">
        <f>'Volume adjustments'!X$63</f>
        <v>0</v>
      </c>
      <c r="Y64" s="107">
        <f>'Volume adjustments'!Y$63</f>
        <v>0</v>
      </c>
      <c r="Z64" s="107">
        <f>'Volume adjustments'!Z$63</f>
        <v>0</v>
      </c>
      <c r="AA64" s="107">
        <f>'Volume adjustments'!AA$63</f>
        <v>0</v>
      </c>
      <c r="AB64" s="107">
        <f>'Volume adjustments'!AB$63</f>
        <v>0</v>
      </c>
    </row>
    <row r="65" spans="3:30" x14ac:dyDescent="0.25">
      <c r="D65"/>
      <c r="E65" s="88"/>
      <c r="F65" t="s">
        <v>156</v>
      </c>
      <c r="G65" t="s">
        <v>166</v>
      </c>
      <c r="H65" s="51"/>
      <c r="J65" s="25">
        <f>'Volume adjustments'!J$74</f>
        <v>0.60361788113874959</v>
      </c>
      <c r="K65" s="25">
        <f>'Volume adjustments'!K$74</f>
        <v>0.60361788113874959</v>
      </c>
      <c r="L65" s="25">
        <f>'Volume adjustments'!L$74</f>
        <v>0.60361788113874959</v>
      </c>
      <c r="M65" s="25">
        <f>'Volume adjustments'!M$74</f>
        <v>0.60361788113874959</v>
      </c>
      <c r="N65" s="25">
        <f>'Volume adjustments'!N$74</f>
        <v>0.60361788113874959</v>
      </c>
      <c r="O65" s="25">
        <f>'Volume adjustments'!O$74</f>
        <v>0.34819248571328243</v>
      </c>
      <c r="P65" s="25">
        <f>'Volume adjustments'!P$74</f>
        <v>0.25174009320591562</v>
      </c>
      <c r="Q65" s="25">
        <f>'Volume adjustments'!Q$74</f>
        <v>0.60361788113874959</v>
      </c>
      <c r="R65" s="25">
        <f>'Volume adjustments'!R$74</f>
        <v>0.34819248571328243</v>
      </c>
      <c r="S65" s="25">
        <f>'Volume adjustments'!S$74</f>
        <v>0.25174009320591562</v>
      </c>
      <c r="T65" s="25">
        <f>'Volume adjustments'!T$74</f>
        <v>0.60361788113874959</v>
      </c>
      <c r="U65" s="25">
        <f>'Volume adjustments'!U$74</f>
        <v>0</v>
      </c>
      <c r="V65" s="25">
        <f>'Volume adjustments'!V$74</f>
        <v>0</v>
      </c>
      <c r="W65" s="25">
        <f>'Volume adjustments'!W$74</f>
        <v>0</v>
      </c>
      <c r="X65" s="25">
        <f>'Volume adjustments'!X$74</f>
        <v>0</v>
      </c>
      <c r="Y65" s="25">
        <f>'Volume adjustments'!Y$74</f>
        <v>0</v>
      </c>
      <c r="Z65" s="25">
        <f>'Volume adjustments'!Z$74</f>
        <v>0</v>
      </c>
      <c r="AA65" s="25">
        <f>'Volume adjustments'!AA$74</f>
        <v>0</v>
      </c>
      <c r="AB65" s="25">
        <f>'Volume adjustments'!AB$74</f>
        <v>0</v>
      </c>
    </row>
    <row r="66" spans="3:30" x14ac:dyDescent="0.25">
      <c r="D66"/>
      <c r="E66" s="88"/>
      <c r="F66" t="s">
        <v>157</v>
      </c>
      <c r="G66" t="s">
        <v>166</v>
      </c>
      <c r="H66" s="51"/>
      <c r="J66" s="25">
        <f>'Volume adjustments'!J$85</f>
        <v>0.60361788113874959</v>
      </c>
      <c r="K66" s="25">
        <f>'Volume adjustments'!K$85</f>
        <v>0.60361788113874959</v>
      </c>
      <c r="L66" s="25">
        <f>'Volume adjustments'!L$85</f>
        <v>0.60361788113874959</v>
      </c>
      <c r="M66" s="25">
        <f>'Volume adjustments'!M$85</f>
        <v>0.60361788113874959</v>
      </c>
      <c r="N66" s="25">
        <f>'Volume adjustments'!N$85</f>
        <v>0.60361788113874959</v>
      </c>
      <c r="O66" s="25">
        <f>'Volume adjustments'!O$85</f>
        <v>0.34819248571328243</v>
      </c>
      <c r="P66" s="25">
        <f>'Volume adjustments'!P$85</f>
        <v>0.25174009320591562</v>
      </c>
      <c r="Q66" s="25">
        <f>'Volume adjustments'!Q$85</f>
        <v>0.60361788113874959</v>
      </c>
      <c r="R66" s="25">
        <f>'Volume adjustments'!R$85</f>
        <v>0.34819248571328243</v>
      </c>
      <c r="S66" s="25">
        <f>'Volume adjustments'!S$85</f>
        <v>0.25174009320591562</v>
      </c>
      <c r="T66" s="25">
        <f>'Volume adjustments'!T$85</f>
        <v>0.60361788113874959</v>
      </c>
      <c r="U66" s="25">
        <f>'Volume adjustments'!U$85</f>
        <v>0</v>
      </c>
      <c r="V66" s="25">
        <f>'Volume adjustments'!V$85</f>
        <v>0</v>
      </c>
      <c r="W66" s="25">
        <f>'Volume adjustments'!W$85</f>
        <v>0</v>
      </c>
      <c r="X66" s="25">
        <f>'Volume adjustments'!X$85</f>
        <v>0</v>
      </c>
      <c r="Y66" s="25">
        <f>'Volume adjustments'!Y$85</f>
        <v>0</v>
      </c>
      <c r="Z66" s="25">
        <f>'Volume adjustments'!Z$85</f>
        <v>0</v>
      </c>
      <c r="AA66" s="25">
        <f>'Volume adjustments'!AA$85</f>
        <v>0</v>
      </c>
      <c r="AB66" s="25">
        <f>'Volume adjustments'!AB$85</f>
        <v>0</v>
      </c>
    </row>
    <row r="67" spans="3:30" x14ac:dyDescent="0.25">
      <c r="D67"/>
      <c r="E67" s="88"/>
      <c r="F67" t="s">
        <v>158</v>
      </c>
      <c r="G67" t="s">
        <v>166</v>
      </c>
      <c r="H67" s="51"/>
      <c r="J67" s="25">
        <f>'Volume adjustments'!J$100</f>
        <v>0.60361788113874959</v>
      </c>
      <c r="K67" s="25">
        <f>'Volume adjustments'!K$100</f>
        <v>0.60361788113874959</v>
      </c>
      <c r="L67" s="25">
        <f>'Volume adjustments'!L$100</f>
        <v>0.60361788113874959</v>
      </c>
      <c r="M67" s="25">
        <f>'Volume adjustments'!M$100</f>
        <v>0.60361788113874959</v>
      </c>
      <c r="N67" s="25">
        <f>'Volume adjustments'!N$100</f>
        <v>0.60361788113874959</v>
      </c>
      <c r="O67" s="25">
        <f>'Volume adjustments'!O$100</f>
        <v>0.34819248571328243</v>
      </c>
      <c r="P67" s="25">
        <f>'Volume adjustments'!P$100</f>
        <v>0.25174009320591562</v>
      </c>
      <c r="Q67" s="25">
        <f>'Volume adjustments'!Q$100</f>
        <v>0.60361788113874959</v>
      </c>
      <c r="R67" s="25">
        <f>'Volume adjustments'!R$100</f>
        <v>0.34819248571328243</v>
      </c>
      <c r="S67" s="25">
        <f>'Volume adjustments'!S$100</f>
        <v>0.25174009320591562</v>
      </c>
      <c r="T67" s="25">
        <f>'Volume adjustments'!T$100</f>
        <v>0.60361788113874959</v>
      </c>
      <c r="U67" s="25">
        <f>'Volume adjustments'!U$100</f>
        <v>1</v>
      </c>
      <c r="V67" s="25">
        <f>'Volume adjustments'!V$100</f>
        <v>1</v>
      </c>
      <c r="W67" s="25">
        <f>'Volume adjustments'!W$100</f>
        <v>1</v>
      </c>
      <c r="X67" s="25">
        <f>'Volume adjustments'!X$100</f>
        <v>1</v>
      </c>
      <c r="Y67" s="25">
        <f>'Volume adjustments'!Y$100</f>
        <v>1</v>
      </c>
      <c r="Z67" s="25">
        <f>'Volume adjustments'!Z$100</f>
        <v>1</v>
      </c>
      <c r="AA67" s="25">
        <f>'Volume adjustments'!AA$100</f>
        <v>1</v>
      </c>
      <c r="AB67" s="25">
        <f>'Volume adjustments'!AB$100</f>
        <v>1</v>
      </c>
    </row>
    <row r="68" spans="3:30" x14ac:dyDescent="0.25">
      <c r="D68"/>
      <c r="E68" s="88"/>
      <c r="F68" t="s">
        <v>159</v>
      </c>
      <c r="G68" t="s">
        <v>166</v>
      </c>
      <c r="H68" s="51"/>
      <c r="J68" s="25">
        <f>'Volume adjustments'!J$111</f>
        <v>0.60361788113874959</v>
      </c>
      <c r="K68" s="25">
        <f>'Volume adjustments'!K$111</f>
        <v>0.60361788113874959</v>
      </c>
      <c r="L68" s="25">
        <f>'Volume adjustments'!L$111</f>
        <v>0.60361788113874959</v>
      </c>
      <c r="M68" s="25">
        <f>'Volume adjustments'!M$111</f>
        <v>0.60361788113874959</v>
      </c>
      <c r="N68" s="25">
        <f>'Volume adjustments'!N$111</f>
        <v>0.60361788113874959</v>
      </c>
      <c r="O68" s="25">
        <f>'Volume adjustments'!O$111</f>
        <v>0.34819248571328243</v>
      </c>
      <c r="P68" s="25">
        <f>'Volume adjustments'!P$111</f>
        <v>0.25174009320591562</v>
      </c>
      <c r="Q68" s="25">
        <f>'Volume adjustments'!Q$111</f>
        <v>0.60361788113874959</v>
      </c>
      <c r="R68" s="25">
        <f>'Volume adjustments'!R$111</f>
        <v>0.34819248571328243</v>
      </c>
      <c r="S68" s="25">
        <f>'Volume adjustments'!S$111</f>
        <v>0.25174009320591562</v>
      </c>
      <c r="T68" s="25">
        <f>'Volume adjustments'!T$111</f>
        <v>0.60361788113874959</v>
      </c>
      <c r="U68" s="25">
        <f>'Volume adjustments'!U$111</f>
        <v>0</v>
      </c>
      <c r="V68" s="25">
        <f>'Volume adjustments'!V$111</f>
        <v>0</v>
      </c>
      <c r="W68" s="25">
        <f>'Volume adjustments'!W$111</f>
        <v>0</v>
      </c>
      <c r="X68" s="25">
        <f>'Volume adjustments'!X$111</f>
        <v>0</v>
      </c>
      <c r="Y68" s="25">
        <f>'Volume adjustments'!Y$111</f>
        <v>0</v>
      </c>
      <c r="Z68" s="25">
        <f>'Volume adjustments'!Z$111</f>
        <v>0</v>
      </c>
      <c r="AA68" s="25">
        <f>'Volume adjustments'!AA$111</f>
        <v>0</v>
      </c>
      <c r="AB68" s="25">
        <f>'Volume adjustments'!AB$111</f>
        <v>0</v>
      </c>
    </row>
    <row r="69" spans="3:30" x14ac:dyDescent="0.25">
      <c r="D69"/>
      <c r="E69" s="88"/>
      <c r="F69" t="s">
        <v>160</v>
      </c>
      <c r="G69" t="s">
        <v>166</v>
      </c>
      <c r="H69" s="51"/>
      <c r="J69" s="25">
        <f>'Volume adjustments'!J$122</f>
        <v>0.60361788113874959</v>
      </c>
      <c r="K69" s="25">
        <f>'Volume adjustments'!K$122</f>
        <v>0.60361788113874959</v>
      </c>
      <c r="L69" s="25">
        <f>'Volume adjustments'!L$122</f>
        <v>0.60361788113874959</v>
      </c>
      <c r="M69" s="25">
        <f>'Volume adjustments'!M$122</f>
        <v>0.60361788113874959</v>
      </c>
      <c r="N69" s="25">
        <f>'Volume adjustments'!N$122</f>
        <v>0.60361788113874959</v>
      </c>
      <c r="O69" s="25">
        <f>'Volume adjustments'!O$122</f>
        <v>0.34819248571328243</v>
      </c>
      <c r="P69" s="25">
        <f>'Volume adjustments'!P$122</f>
        <v>0.25174009320591562</v>
      </c>
      <c r="Q69" s="25">
        <f>'Volume adjustments'!Q$122</f>
        <v>0.60361788113874959</v>
      </c>
      <c r="R69" s="25">
        <f>'Volume adjustments'!R$122</f>
        <v>0.34819248571328243</v>
      </c>
      <c r="S69" s="25">
        <f>'Volume adjustments'!S$122</f>
        <v>0.25174009320591562</v>
      </c>
      <c r="T69" s="25">
        <f>'Volume adjustments'!T$122</f>
        <v>0.60361788113874959</v>
      </c>
      <c r="U69" s="25">
        <f>'Volume adjustments'!U$122</f>
        <v>0</v>
      </c>
      <c r="V69" s="25">
        <f>'Volume adjustments'!V$122</f>
        <v>0</v>
      </c>
      <c r="W69" s="25">
        <f>'Volume adjustments'!W$122</f>
        <v>0</v>
      </c>
      <c r="X69" s="25">
        <f>'Volume adjustments'!X$122</f>
        <v>0</v>
      </c>
      <c r="Y69" s="25">
        <f>'Volume adjustments'!Y$122</f>
        <v>0</v>
      </c>
      <c r="Z69" s="25">
        <f>'Volume adjustments'!Z$122</f>
        <v>0</v>
      </c>
      <c r="AA69" s="25">
        <f>'Volume adjustments'!AA$122</f>
        <v>0</v>
      </c>
      <c r="AB69" s="25">
        <f>'Volume adjustments'!AB$122</f>
        <v>0</v>
      </c>
    </row>
    <row r="70" spans="3:30" x14ac:dyDescent="0.25">
      <c r="D70"/>
      <c r="E70" s="88"/>
      <c r="F70" s="37" t="s">
        <v>161</v>
      </c>
      <c r="G70" s="37" t="s">
        <v>166</v>
      </c>
      <c r="H70" s="215"/>
      <c r="I70" s="37"/>
      <c r="J70" s="141">
        <f>'Volume adjustments'!J$133</f>
        <v>0.60361788113874959</v>
      </c>
      <c r="K70" s="141">
        <f>'Volume adjustments'!K$133</f>
        <v>0.60361788113874959</v>
      </c>
      <c r="L70" s="141">
        <f>'Volume adjustments'!L$133</f>
        <v>0.60361788113874959</v>
      </c>
      <c r="M70" s="141">
        <f>'Volume adjustments'!M$133</f>
        <v>0.60361788113874959</v>
      </c>
      <c r="N70" s="141">
        <f>'Volume adjustments'!N$133</f>
        <v>0.60361788113874959</v>
      </c>
      <c r="O70" s="141">
        <f>'Volume adjustments'!O$133</f>
        <v>0.34819248571328243</v>
      </c>
      <c r="P70" s="141">
        <f>'Volume adjustments'!P$133</f>
        <v>0.25174009320591562</v>
      </c>
      <c r="Q70" s="141">
        <f>'Volume adjustments'!Q$133</f>
        <v>0.60361788113874959</v>
      </c>
      <c r="R70" s="141">
        <f>'Volume adjustments'!R$133</f>
        <v>0.34819248571328243</v>
      </c>
      <c r="S70" s="141">
        <f>'Volume adjustments'!S$133</f>
        <v>0.25174009320591562</v>
      </c>
      <c r="T70" s="141">
        <f>'Volume adjustments'!T$133</f>
        <v>0.60361788113874959</v>
      </c>
      <c r="U70" s="141">
        <f>'Volume adjustments'!U$133</f>
        <v>0</v>
      </c>
      <c r="V70" s="141">
        <f>'Volume adjustments'!V$133</f>
        <v>0</v>
      </c>
      <c r="W70" s="141">
        <f>'Volume adjustments'!W$133</f>
        <v>0</v>
      </c>
      <c r="X70" s="141">
        <f>'Volume adjustments'!X$133</f>
        <v>0</v>
      </c>
      <c r="Y70" s="141">
        <f>'Volume adjustments'!Y$133</f>
        <v>0</v>
      </c>
      <c r="Z70" s="141">
        <f>'Volume adjustments'!Z$133</f>
        <v>0</v>
      </c>
      <c r="AA70" s="141">
        <f>'Volume adjustments'!AA$133</f>
        <v>0</v>
      </c>
      <c r="AB70" s="141">
        <f>'Volume adjustments'!AB$133</f>
        <v>0</v>
      </c>
    </row>
    <row r="71" spans="3:30" x14ac:dyDescent="0.25">
      <c r="D71" s="88"/>
      <c r="E71"/>
    </row>
    <row r="72" spans="3:30" x14ac:dyDescent="0.25">
      <c r="C72" s="31" t="str">
        <f ca="1">INDEX('Version control'!$H$34:$H$57,MATCH($A$1,'Version control'!$F$34:$F$57,0),1)&amp;"-E: Decimal places for rounding"</f>
        <v>Section 117-E: Decimal places for rounding</v>
      </c>
      <c r="D72" s="31"/>
      <c r="E72" s="31"/>
      <c r="F72" s="31"/>
      <c r="G72" s="31"/>
      <c r="H72" s="31"/>
      <c r="I72" s="31"/>
      <c r="J72" s="31"/>
      <c r="K72" s="31"/>
      <c r="L72" s="31"/>
      <c r="M72" s="31"/>
      <c r="N72" s="31"/>
      <c r="O72" s="31"/>
      <c r="P72" s="31"/>
      <c r="Q72" s="31"/>
      <c r="R72" s="31"/>
      <c r="S72" s="31"/>
      <c r="T72" s="31"/>
      <c r="U72" s="31"/>
      <c r="V72" s="31"/>
      <c r="W72" s="31"/>
      <c r="X72" s="31"/>
      <c r="Y72" s="31"/>
      <c r="Z72" s="31"/>
      <c r="AA72" s="31"/>
      <c r="AB72" s="31"/>
      <c r="AC72" s="31"/>
      <c r="AD72" s="31"/>
    </row>
    <row r="74" spans="3:30" x14ac:dyDescent="0.25">
      <c r="E74" s="32" t="s">
        <v>814</v>
      </c>
      <c r="I74" t="s">
        <v>153</v>
      </c>
      <c r="AD74" t="s">
        <v>154</v>
      </c>
    </row>
    <row r="75" spans="3:30" x14ac:dyDescent="0.25">
      <c r="C75" s="88"/>
      <c r="F75" s="23" t="s">
        <v>155</v>
      </c>
      <c r="G75" s="23" t="s">
        <v>148</v>
      </c>
      <c r="H75" s="174">
        <f>'Fixed inputs'!H25</f>
        <v>3</v>
      </c>
    </row>
    <row r="76" spans="3:30" x14ac:dyDescent="0.25">
      <c r="C76" s="88"/>
      <c r="F76" t="s">
        <v>156</v>
      </c>
      <c r="G76" t="s">
        <v>148</v>
      </c>
      <c r="H76" s="51">
        <f>'Fixed inputs'!H26</f>
        <v>3</v>
      </c>
    </row>
    <row r="77" spans="3:30" x14ac:dyDescent="0.25">
      <c r="C77" s="88"/>
      <c r="F77" t="s">
        <v>157</v>
      </c>
      <c r="G77" t="s">
        <v>148</v>
      </c>
      <c r="H77" s="51">
        <f>'Fixed inputs'!H27</f>
        <v>3</v>
      </c>
    </row>
    <row r="78" spans="3:30" x14ac:dyDescent="0.25">
      <c r="C78" s="88"/>
      <c r="F78" t="s">
        <v>158</v>
      </c>
      <c r="G78" t="s">
        <v>148</v>
      </c>
      <c r="H78" s="51">
        <f>'Fixed inputs'!H28</f>
        <v>2</v>
      </c>
    </row>
    <row r="79" spans="3:30" x14ac:dyDescent="0.25">
      <c r="C79" s="88"/>
      <c r="F79" t="s">
        <v>159</v>
      </c>
      <c r="G79" t="s">
        <v>148</v>
      </c>
      <c r="H79" s="51">
        <f>'Fixed inputs'!H29</f>
        <v>2</v>
      </c>
    </row>
    <row r="80" spans="3:30" x14ac:dyDescent="0.25">
      <c r="C80" s="88"/>
      <c r="F80" t="s">
        <v>160</v>
      </c>
      <c r="G80" t="s">
        <v>148</v>
      </c>
      <c r="H80" s="51">
        <f>'Fixed inputs'!H30</f>
        <v>2</v>
      </c>
    </row>
    <row r="81" spans="2:30" x14ac:dyDescent="0.25">
      <c r="C81" s="88"/>
      <c r="F81" s="37" t="s">
        <v>161</v>
      </c>
      <c r="G81" s="37" t="s">
        <v>148</v>
      </c>
      <c r="H81" s="215">
        <f>'Fixed inputs'!H31</f>
        <v>3</v>
      </c>
    </row>
    <row r="82" spans="2:30" x14ac:dyDescent="0.25">
      <c r="C82" s="88"/>
    </row>
    <row r="83" spans="2:30" x14ac:dyDescent="0.25">
      <c r="B83" s="30" t="s">
        <v>815</v>
      </c>
      <c r="C83" s="30"/>
      <c r="D83" s="30"/>
      <c r="E83" s="30"/>
      <c r="F83" s="30"/>
      <c r="G83" s="30"/>
      <c r="H83" s="30"/>
      <c r="I83" s="30"/>
      <c r="J83" s="30"/>
      <c r="K83" s="30"/>
      <c r="L83" s="30"/>
      <c r="M83" s="30"/>
      <c r="N83" s="30"/>
      <c r="O83" s="30"/>
      <c r="P83" s="30"/>
      <c r="Q83" s="30"/>
      <c r="R83" s="30"/>
      <c r="S83" s="30"/>
      <c r="T83" s="30"/>
      <c r="U83" s="30"/>
      <c r="V83" s="30"/>
      <c r="W83" s="30"/>
      <c r="X83" s="30"/>
      <c r="Y83" s="30"/>
      <c r="Z83" s="30"/>
      <c r="AA83" s="30"/>
      <c r="AB83" s="30"/>
      <c r="AC83" s="30"/>
      <c r="AD83" s="30"/>
    </row>
    <row r="85" spans="2:30" x14ac:dyDescent="0.25">
      <c r="C85" s="29" t="s">
        <v>816</v>
      </c>
    </row>
    <row r="87" spans="2:30" x14ac:dyDescent="0.25">
      <c r="C87" s="31" t="str">
        <f ca="1">INDEX('Version control'!$H$34:$H$57,MATCH($A$1,'Version control'!$F$34:$F$57,0),1)&amp;"-F: Tariff forecast, post-revenue matching"</f>
        <v>Section 117-F: Tariff forecast, post-revenue matching</v>
      </c>
      <c r="D87" s="31"/>
      <c r="E87" s="31"/>
      <c r="F87" s="31"/>
      <c r="G87" s="31"/>
      <c r="H87" s="31"/>
      <c r="I87" s="31"/>
      <c r="J87" s="31"/>
      <c r="K87" s="31"/>
      <c r="L87" s="31"/>
      <c r="M87" s="31"/>
      <c r="N87" s="31"/>
      <c r="O87" s="31"/>
      <c r="P87" s="31"/>
      <c r="Q87" s="31"/>
      <c r="R87" s="31"/>
      <c r="S87" s="31"/>
      <c r="T87" s="31"/>
      <c r="U87" s="31"/>
      <c r="V87" s="31"/>
      <c r="W87" s="31"/>
      <c r="X87" s="31"/>
      <c r="Y87" s="31"/>
      <c r="Z87" s="31"/>
      <c r="AA87" s="31"/>
      <c r="AB87" s="31"/>
      <c r="AC87" s="31"/>
      <c r="AD87" s="31"/>
    </row>
    <row r="89" spans="2:30" x14ac:dyDescent="0.25">
      <c r="D89"/>
      <c r="E89" s="32" t="s">
        <v>817</v>
      </c>
      <c r="F89" s="32"/>
    </row>
    <row r="90" spans="2:30" x14ac:dyDescent="0.25">
      <c r="D90"/>
      <c r="E90" s="88"/>
      <c r="F90" s="23" t="s">
        <v>155</v>
      </c>
      <c r="G90" s="23" t="s">
        <v>268</v>
      </c>
      <c r="H90" s="285"/>
      <c r="I90" s="269"/>
      <c r="J90" s="288">
        <f xml:space="preserve"> J20 + J32</f>
        <v>10.154684538600296</v>
      </c>
      <c r="K90" s="288">
        <f t="shared" ref="K90:AB90" si="0" xml:space="preserve"> K20 + K32</f>
        <v>10.154684538600296</v>
      </c>
      <c r="L90" s="288">
        <f t="shared" si="0"/>
        <v>11.609454272217189</v>
      </c>
      <c r="M90" s="288">
        <f t="shared" si="0"/>
        <v>11.609454272217189</v>
      </c>
      <c r="N90" s="288">
        <f t="shared" si="0"/>
        <v>8.1806627632205444</v>
      </c>
      <c r="O90" s="288">
        <f t="shared" si="0"/>
        <v>5.3091108008393073</v>
      </c>
      <c r="P90" s="288">
        <f t="shared" si="0"/>
        <v>4.3005232669411351</v>
      </c>
      <c r="Q90" s="288">
        <f t="shared" ref="Q90:S90" si="1" xml:space="preserve"> Q20 + Q32</f>
        <v>7.0335580755778464</v>
      </c>
      <c r="R90" s="288">
        <f t="shared" si="1"/>
        <v>4.1620061131966093</v>
      </c>
      <c r="S90" s="288">
        <f t="shared" si="1"/>
        <v>3.1534185792984371</v>
      </c>
      <c r="T90" s="288">
        <f t="shared" si="0"/>
        <v>22.728207842675385</v>
      </c>
      <c r="U90" s="288">
        <f t="shared" si="0"/>
        <v>-6.4413635387668471</v>
      </c>
      <c r="V90" s="288">
        <f t="shared" si="0"/>
        <v>-5.6891199709087141</v>
      </c>
      <c r="W90" s="288">
        <f t="shared" si="0"/>
        <v>-6.4413635387668471</v>
      </c>
      <c r="X90" s="288">
        <f t="shared" si="0"/>
        <v>-6.4413635387668471</v>
      </c>
      <c r="Y90" s="288">
        <f t="shared" si="0"/>
        <v>-5.6891199709087141</v>
      </c>
      <c r="Z90" s="288">
        <f t="shared" si="0"/>
        <v>-5.6891199709087141</v>
      </c>
      <c r="AA90" s="288">
        <f t="shared" si="0"/>
        <v>-3.732687631507082</v>
      </c>
      <c r="AB90" s="288">
        <f t="shared" si="0"/>
        <v>-3.732687631507082</v>
      </c>
      <c r="AC90" s="271"/>
      <c r="AD90" s="271"/>
    </row>
    <row r="91" spans="2:30" x14ac:dyDescent="0.25">
      <c r="D91"/>
      <c r="E91" s="88"/>
      <c r="F91" t="s">
        <v>156</v>
      </c>
      <c r="G91" t="s">
        <v>268</v>
      </c>
      <c r="H91" s="286"/>
      <c r="I91" s="271"/>
      <c r="J91" s="289">
        <f t="shared" ref="J91:AB91" si="2" xml:space="preserve"> J21 + J33</f>
        <v>2.030113890331732</v>
      </c>
      <c r="K91" s="289">
        <f t="shared" si="2"/>
        <v>2.030113890331732</v>
      </c>
      <c r="L91" s="289">
        <f t="shared" si="2"/>
        <v>2.1727243455075054</v>
      </c>
      <c r="M91" s="289">
        <f t="shared" si="2"/>
        <v>2.1727243455075054</v>
      </c>
      <c r="N91" s="289">
        <f t="shared" si="2"/>
        <v>1.8130518310452894</v>
      </c>
      <c r="O91" s="289">
        <f t="shared" si="2"/>
        <v>1.5011295927806836</v>
      </c>
      <c r="P91" s="289">
        <f t="shared" si="2"/>
        <v>1.3997210263880107</v>
      </c>
      <c r="Q91" s="289">
        <f t="shared" ref="Q91:S91" si="3" xml:space="preserve"> Q21 + Q33</f>
        <v>0.66594714340259142</v>
      </c>
      <c r="R91" s="289">
        <f t="shared" si="3"/>
        <v>0.35402490513798557</v>
      </c>
      <c r="S91" s="289">
        <f t="shared" si="3"/>
        <v>0.25261633874531259</v>
      </c>
      <c r="T91" s="289">
        <f t="shared" si="2"/>
        <v>2.3423494600656296</v>
      </c>
      <c r="U91" s="289">
        <f t="shared" si="2"/>
        <v>-0.63144411448010185</v>
      </c>
      <c r="V91" s="289">
        <f t="shared" si="2"/>
        <v>-0.54797375527131609</v>
      </c>
      <c r="W91" s="289">
        <f t="shared" si="2"/>
        <v>-0.63144411448010185</v>
      </c>
      <c r="X91" s="289">
        <f t="shared" si="2"/>
        <v>-0.63144411448010185</v>
      </c>
      <c r="Y91" s="289">
        <f t="shared" si="2"/>
        <v>-0.54797375527131609</v>
      </c>
      <c r="Z91" s="289">
        <f t="shared" si="2"/>
        <v>-0.54797375527131609</v>
      </c>
      <c r="AA91" s="289">
        <f t="shared" si="2"/>
        <v>-0.31633967493658671</v>
      </c>
      <c r="AB91" s="289">
        <f t="shared" si="2"/>
        <v>-0.31633967493658671</v>
      </c>
      <c r="AC91" s="271"/>
      <c r="AD91" s="271"/>
    </row>
    <row r="92" spans="2:30" x14ac:dyDescent="0.25">
      <c r="D92"/>
      <c r="E92" s="88"/>
      <c r="F92" t="s">
        <v>157</v>
      </c>
      <c r="G92" t="s">
        <v>268</v>
      </c>
      <c r="H92" s="286"/>
      <c r="I92" s="271"/>
      <c r="J92" s="289">
        <f t="shared" ref="J92:AB92" si="4" xml:space="preserve"> J22 + J34</f>
        <v>1.1699297081920386</v>
      </c>
      <c r="K92" s="289">
        <f t="shared" si="4"/>
        <v>1.1699297081920386</v>
      </c>
      <c r="L92" s="289">
        <f t="shared" si="4"/>
        <v>1.1736160645290112</v>
      </c>
      <c r="M92" s="289">
        <f t="shared" si="4"/>
        <v>1.1736160645290112</v>
      </c>
      <c r="N92" s="289">
        <f t="shared" si="4"/>
        <v>1.1632853758630821</v>
      </c>
      <c r="O92" s="289">
        <f t="shared" si="4"/>
        <v>1.1538872527162751</v>
      </c>
      <c r="P92" s="289">
        <f t="shared" si="4"/>
        <v>1.1511545866262785</v>
      </c>
      <c r="Q92" s="289">
        <f t="shared" ref="Q92:S92" si="5" xml:space="preserve"> Q22 + Q34</f>
        <v>1.6180688220383998E-2</v>
      </c>
      <c r="R92" s="289">
        <f t="shared" si="5"/>
        <v>6.782565073577133E-3</v>
      </c>
      <c r="S92" s="289">
        <f t="shared" si="5"/>
        <v>4.0498989835803315E-3</v>
      </c>
      <c r="T92" s="289">
        <f t="shared" si="4"/>
        <v>1.596395900786951</v>
      </c>
      <c r="U92" s="289">
        <f t="shared" si="4"/>
        <v>-1.632228163067535E-2</v>
      </c>
      <c r="V92" s="289">
        <f t="shared" si="4"/>
        <v>-1.3737723553938727E-2</v>
      </c>
      <c r="W92" s="289">
        <f t="shared" si="4"/>
        <v>-1.632228163067535E-2</v>
      </c>
      <c r="X92" s="289">
        <f t="shared" si="4"/>
        <v>-1.632228163067535E-2</v>
      </c>
      <c r="Y92" s="289">
        <f t="shared" si="4"/>
        <v>-1.3737723553938727E-2</v>
      </c>
      <c r="Z92" s="289">
        <f t="shared" si="4"/>
        <v>-1.3737723553938727E-2</v>
      </c>
      <c r="AA92" s="289">
        <f t="shared" si="4"/>
        <v>-6.0015573611233893E-3</v>
      </c>
      <c r="AB92" s="289">
        <f t="shared" si="4"/>
        <v>-6.0015573611233893E-3</v>
      </c>
      <c r="AC92" s="271"/>
      <c r="AD92" s="271"/>
    </row>
    <row r="93" spans="2:30" x14ac:dyDescent="0.25">
      <c r="D93"/>
      <c r="E93" s="88"/>
      <c r="F93" t="s">
        <v>158</v>
      </c>
      <c r="G93" t="s">
        <v>269</v>
      </c>
      <c r="H93" s="51"/>
      <c r="J93" s="98">
        <f t="shared" ref="J93:AB93" si="6" xml:space="preserve"> J23 + J35</f>
        <v>4.5716420838261662</v>
      </c>
      <c r="K93" s="98">
        <f t="shared" si="6"/>
        <v>0</v>
      </c>
      <c r="L93" s="98">
        <f t="shared" si="6"/>
        <v>5.8510599368879221</v>
      </c>
      <c r="M93" s="98">
        <f t="shared" si="6"/>
        <v>0</v>
      </c>
      <c r="N93" s="98">
        <f t="shared" si="6"/>
        <v>23.235516904135658</v>
      </c>
      <c r="O93" s="98">
        <f t="shared" si="6"/>
        <v>8.2007706720478808</v>
      </c>
      <c r="P93" s="98">
        <f t="shared" si="6"/>
        <v>124.16460347195436</v>
      </c>
      <c r="Q93" s="98">
        <f t="shared" ref="Q93:S93" si="7" xml:space="preserve"> Q23 + Q35</f>
        <v>23.235516904135658</v>
      </c>
      <c r="R93" s="98">
        <f t="shared" si="7"/>
        <v>8.2007706720478808</v>
      </c>
      <c r="S93" s="98">
        <f t="shared" si="7"/>
        <v>124.16460347195436</v>
      </c>
      <c r="T93" s="98">
        <f t="shared" si="6"/>
        <v>0</v>
      </c>
      <c r="U93" s="98">
        <f t="shared" si="6"/>
        <v>0</v>
      </c>
      <c r="V93" s="98">
        <f t="shared" si="6"/>
        <v>0</v>
      </c>
      <c r="W93" s="98">
        <f t="shared" si="6"/>
        <v>0</v>
      </c>
      <c r="X93" s="98">
        <f t="shared" si="6"/>
        <v>0</v>
      </c>
      <c r="Y93" s="98">
        <f t="shared" si="6"/>
        <v>0</v>
      </c>
      <c r="Z93" s="98">
        <f t="shared" si="6"/>
        <v>0</v>
      </c>
      <c r="AA93" s="98">
        <f t="shared" si="6"/>
        <v>90.667330037272208</v>
      </c>
      <c r="AB93" s="98">
        <f t="shared" si="6"/>
        <v>90.667330037272208</v>
      </c>
    </row>
    <row r="94" spans="2:30" x14ac:dyDescent="0.25">
      <c r="D94"/>
      <c r="E94" s="88"/>
      <c r="F94" t="s">
        <v>159</v>
      </c>
      <c r="G94" t="s">
        <v>270</v>
      </c>
      <c r="H94" s="51"/>
      <c r="J94" s="98">
        <f t="shared" ref="J94:AB94" si="8" xml:space="preserve"> J24 + J36</f>
        <v>0</v>
      </c>
      <c r="K94" s="98">
        <f t="shared" si="8"/>
        <v>0</v>
      </c>
      <c r="L94" s="98">
        <f t="shared" si="8"/>
        <v>0</v>
      </c>
      <c r="M94" s="98">
        <f t="shared" si="8"/>
        <v>0</v>
      </c>
      <c r="N94" s="98">
        <f t="shared" si="8"/>
        <v>2.498083735110924</v>
      </c>
      <c r="O94" s="98">
        <f t="shared" si="8"/>
        <v>4.5053338960962241</v>
      </c>
      <c r="P94" s="98">
        <f t="shared" si="8"/>
        <v>4.9643297738527297</v>
      </c>
      <c r="Q94" s="98">
        <f t="shared" ref="Q94:S94" si="9" xml:space="preserve"> Q24 + Q36</f>
        <v>2.498083735110924</v>
      </c>
      <c r="R94" s="98">
        <f t="shared" si="9"/>
        <v>4.5053338960962241</v>
      </c>
      <c r="S94" s="98">
        <f t="shared" si="9"/>
        <v>4.9643297738527297</v>
      </c>
      <c r="T94" s="98">
        <f t="shared" si="8"/>
        <v>0</v>
      </c>
      <c r="U94" s="98">
        <f t="shared" si="8"/>
        <v>0</v>
      </c>
      <c r="V94" s="98">
        <f t="shared" si="8"/>
        <v>0</v>
      </c>
      <c r="W94" s="98">
        <f t="shared" si="8"/>
        <v>0</v>
      </c>
      <c r="X94" s="98">
        <f t="shared" si="8"/>
        <v>0</v>
      </c>
      <c r="Y94" s="98">
        <f t="shared" si="8"/>
        <v>0</v>
      </c>
      <c r="Z94" s="98">
        <f t="shared" si="8"/>
        <v>0</v>
      </c>
      <c r="AA94" s="98">
        <f t="shared" si="8"/>
        <v>0</v>
      </c>
      <c r="AB94" s="98">
        <f t="shared" si="8"/>
        <v>0</v>
      </c>
    </row>
    <row r="95" spans="2:30" x14ac:dyDescent="0.25">
      <c r="D95"/>
      <c r="E95" s="88"/>
      <c r="F95" t="s">
        <v>160</v>
      </c>
      <c r="G95" t="s">
        <v>270</v>
      </c>
      <c r="H95" s="51"/>
      <c r="J95" s="98">
        <f t="shared" ref="J95:AB95" si="10" xml:space="preserve"> J25 + J37</f>
        <v>0</v>
      </c>
      <c r="K95" s="98">
        <f t="shared" si="10"/>
        <v>0</v>
      </c>
      <c r="L95" s="98">
        <f t="shared" si="10"/>
        <v>0</v>
      </c>
      <c r="M95" s="98">
        <f t="shared" si="10"/>
        <v>0</v>
      </c>
      <c r="N95" s="98">
        <f t="shared" si="10"/>
        <v>3.691279099689118</v>
      </c>
      <c r="O95" s="98">
        <f t="shared" si="10"/>
        <v>5.1392827901526239</v>
      </c>
      <c r="P95" s="98">
        <f t="shared" si="10"/>
        <v>6.1243810865470367</v>
      </c>
      <c r="Q95" s="98">
        <f t="shared" ref="Q95:S95" si="11" xml:space="preserve"> Q25 + Q37</f>
        <v>3.691279099689118</v>
      </c>
      <c r="R95" s="98">
        <f t="shared" si="11"/>
        <v>5.1392827901526239</v>
      </c>
      <c r="S95" s="98">
        <f t="shared" si="11"/>
        <v>6.1243810865470367</v>
      </c>
      <c r="T95" s="98">
        <f t="shared" si="10"/>
        <v>0</v>
      </c>
      <c r="U95" s="98">
        <f t="shared" si="10"/>
        <v>0</v>
      </c>
      <c r="V95" s="98">
        <f t="shared" si="10"/>
        <v>0</v>
      </c>
      <c r="W95" s="98">
        <f t="shared" si="10"/>
        <v>0</v>
      </c>
      <c r="X95" s="98">
        <f t="shared" si="10"/>
        <v>0</v>
      </c>
      <c r="Y95" s="98">
        <f t="shared" si="10"/>
        <v>0</v>
      </c>
      <c r="Z95" s="98">
        <f t="shared" si="10"/>
        <v>0</v>
      </c>
      <c r="AA95" s="98">
        <f t="shared" si="10"/>
        <v>0</v>
      </c>
      <c r="AB95" s="98">
        <f t="shared" si="10"/>
        <v>0</v>
      </c>
    </row>
    <row r="96" spans="2:30" x14ac:dyDescent="0.25">
      <c r="D96"/>
      <c r="E96" s="88"/>
      <c r="F96" s="37" t="s">
        <v>161</v>
      </c>
      <c r="G96" s="37" t="s">
        <v>271</v>
      </c>
      <c r="H96" s="290"/>
      <c r="I96" s="275"/>
      <c r="J96" s="291">
        <f t="shared" ref="J96:AB96" si="12" xml:space="preserve"> J26 + J38</f>
        <v>0</v>
      </c>
      <c r="K96" s="291">
        <f t="shared" si="12"/>
        <v>0</v>
      </c>
      <c r="L96" s="291">
        <f t="shared" si="12"/>
        <v>0</v>
      </c>
      <c r="M96" s="291">
        <f t="shared" si="12"/>
        <v>0</v>
      </c>
      <c r="N96" s="291">
        <f t="shared" si="12"/>
        <v>0.23544821131127469</v>
      </c>
      <c r="O96" s="291">
        <f t="shared" si="12"/>
        <v>0.13709057031775684</v>
      </c>
      <c r="P96" s="291">
        <f t="shared" si="12"/>
        <v>0.10158869577513742</v>
      </c>
      <c r="Q96" s="291">
        <f t="shared" ref="Q96:S96" si="13" xml:space="preserve"> Q26 + Q38</f>
        <v>0.23544821131127469</v>
      </c>
      <c r="R96" s="291">
        <f t="shared" si="13"/>
        <v>0.13709057031775684</v>
      </c>
      <c r="S96" s="291">
        <f t="shared" si="13"/>
        <v>0.10158869577513742</v>
      </c>
      <c r="T96" s="291">
        <f t="shared" si="12"/>
        <v>0</v>
      </c>
      <c r="U96" s="291">
        <f t="shared" si="12"/>
        <v>0</v>
      </c>
      <c r="V96" s="291">
        <f t="shared" si="12"/>
        <v>0</v>
      </c>
      <c r="W96" s="291">
        <f t="shared" si="12"/>
        <v>0.20319917220642791</v>
      </c>
      <c r="X96" s="291">
        <f t="shared" si="12"/>
        <v>0</v>
      </c>
      <c r="Y96" s="291">
        <f t="shared" si="12"/>
        <v>0.1816089264144457</v>
      </c>
      <c r="Z96" s="291">
        <f t="shared" si="12"/>
        <v>0</v>
      </c>
      <c r="AA96" s="291">
        <f t="shared" si="12"/>
        <v>0.15574087273376108</v>
      </c>
      <c r="AB96" s="291">
        <f t="shared" si="12"/>
        <v>0</v>
      </c>
      <c r="AC96" s="271"/>
      <c r="AD96" s="271"/>
    </row>
    <row r="97" spans="3:30" x14ac:dyDescent="0.25">
      <c r="D97" s="32"/>
      <c r="E97"/>
      <c r="J97" s="89"/>
      <c r="K97" s="89"/>
      <c r="L97" s="89"/>
      <c r="M97" s="89"/>
      <c r="N97" s="89"/>
      <c r="O97" s="89"/>
      <c r="P97" s="89"/>
      <c r="Q97" s="89"/>
      <c r="R97" s="89"/>
      <c r="S97" s="89"/>
      <c r="T97" s="89"/>
      <c r="U97" s="89"/>
      <c r="V97" s="89"/>
      <c r="W97" s="89"/>
      <c r="X97" s="89"/>
      <c r="Y97" s="89"/>
      <c r="Z97" s="89"/>
      <c r="AA97" s="89"/>
      <c r="AB97" s="89"/>
    </row>
    <row r="98" spans="3:30" x14ac:dyDescent="0.25">
      <c r="C98" s="31" t="str">
        <f ca="1">INDEX('Version control'!$H$34:$H$57,MATCH($A$1,'Version control'!$F$34:$F$57,0),1)&amp;"-G: Tariff forecast, post-adders &amp; discounting"</f>
        <v>Section 117-G: Tariff forecast, post-adders &amp; discounting</v>
      </c>
      <c r="D98" s="31"/>
      <c r="E98" s="31"/>
      <c r="F98" s="31"/>
      <c r="G98" s="31"/>
      <c r="H98" s="31"/>
      <c r="I98" s="31"/>
      <c r="J98" s="90"/>
      <c r="K98" s="90"/>
      <c r="L98" s="90"/>
      <c r="M98" s="90"/>
      <c r="N98" s="90"/>
      <c r="O98" s="90"/>
      <c r="P98" s="90"/>
      <c r="Q98" s="90"/>
      <c r="R98" s="90"/>
      <c r="S98" s="90"/>
      <c r="T98" s="90"/>
      <c r="U98" s="90"/>
      <c r="V98" s="90"/>
      <c r="W98" s="90"/>
      <c r="X98" s="90"/>
      <c r="Y98" s="90"/>
      <c r="Z98" s="90"/>
      <c r="AA98" s="90"/>
      <c r="AB98" s="90"/>
      <c r="AC98" s="31"/>
      <c r="AD98" s="31"/>
    </row>
    <row r="99" spans="3:30" x14ac:dyDescent="0.25">
      <c r="J99" s="89"/>
      <c r="K99" s="89"/>
      <c r="L99" s="89"/>
      <c r="M99" s="89"/>
      <c r="N99" s="89"/>
      <c r="O99" s="89"/>
      <c r="P99" s="89"/>
      <c r="Q99" s="89"/>
      <c r="R99" s="89"/>
      <c r="S99" s="89"/>
      <c r="T99" s="89"/>
      <c r="U99" s="89"/>
      <c r="V99" s="89"/>
      <c r="W99" s="89"/>
      <c r="X99" s="89"/>
      <c r="Y99" s="89"/>
      <c r="Z99" s="89"/>
      <c r="AA99" s="89"/>
      <c r="AB99" s="89"/>
    </row>
    <row r="100" spans="3:30" x14ac:dyDescent="0.25">
      <c r="E100" s="32" t="s">
        <v>1005</v>
      </c>
      <c r="F100" s="32"/>
      <c r="I100" t="s">
        <v>153</v>
      </c>
      <c r="J100" s="89"/>
      <c r="K100" s="89"/>
      <c r="L100" s="89"/>
      <c r="M100" s="89"/>
      <c r="N100" s="89"/>
      <c r="O100" s="89"/>
      <c r="P100" s="89"/>
      <c r="Q100" s="89"/>
      <c r="R100" s="89"/>
      <c r="S100" s="89"/>
      <c r="T100" s="89"/>
      <c r="U100" s="89"/>
      <c r="V100" s="89"/>
      <c r="W100" s="89"/>
      <c r="X100" s="89"/>
      <c r="Y100" s="89"/>
      <c r="Z100" s="89"/>
      <c r="AA100" s="89"/>
      <c r="AB100" s="89"/>
      <c r="AD100" t="s">
        <v>1019</v>
      </c>
    </row>
    <row r="101" spans="3:30" x14ac:dyDescent="0.25">
      <c r="E101" s="88"/>
      <c r="F101" s="23" t="s">
        <v>155</v>
      </c>
      <c r="G101" s="23" t="s">
        <v>268</v>
      </c>
      <c r="H101" s="285"/>
      <c r="I101" s="269"/>
      <c r="J101" s="341">
        <f xml:space="preserve"> J90 + J44</f>
        <v>10.154684538600296</v>
      </c>
      <c r="K101" s="341">
        <f t="shared" ref="K101:AB101" si="14" xml:space="preserve"> K90 + K44</f>
        <v>10.154684538600296</v>
      </c>
      <c r="L101" s="341">
        <f t="shared" si="14"/>
        <v>11.609454272217189</v>
      </c>
      <c r="M101" s="341">
        <f t="shared" si="14"/>
        <v>11.609454272217189</v>
      </c>
      <c r="N101" s="341">
        <f t="shared" si="14"/>
        <v>8.1806627632205444</v>
      </c>
      <c r="O101" s="341">
        <f t="shared" si="14"/>
        <v>5.3091108008393073</v>
      </c>
      <c r="P101" s="341">
        <f t="shared" si="14"/>
        <v>4.3005232669411351</v>
      </c>
      <c r="Q101" s="341">
        <f t="shared" ref="Q101:S101" si="15" xml:space="preserve"> Q90 + Q44</f>
        <v>7.0335580755778464</v>
      </c>
      <c r="R101" s="341">
        <f t="shared" si="15"/>
        <v>4.1620061131966093</v>
      </c>
      <c r="S101" s="341">
        <f t="shared" si="15"/>
        <v>3.1534185792984371</v>
      </c>
      <c r="T101" s="341">
        <f t="shared" si="14"/>
        <v>22.728207842675385</v>
      </c>
      <c r="U101" s="341">
        <f t="shared" si="14"/>
        <v>-6.4413635387668471</v>
      </c>
      <c r="V101" s="341">
        <f t="shared" si="14"/>
        <v>-5.6891199709087141</v>
      </c>
      <c r="W101" s="341">
        <f t="shared" si="14"/>
        <v>-6.4413635387668471</v>
      </c>
      <c r="X101" s="341">
        <f t="shared" si="14"/>
        <v>-6.4413635387668471</v>
      </c>
      <c r="Y101" s="341">
        <f t="shared" si="14"/>
        <v>-5.6891199709087141</v>
      </c>
      <c r="Z101" s="341">
        <f t="shared" si="14"/>
        <v>-5.6891199709087141</v>
      </c>
      <c r="AA101" s="341">
        <f t="shared" si="14"/>
        <v>-3.732687631507082</v>
      </c>
      <c r="AB101" s="341">
        <f t="shared" si="14"/>
        <v>-3.732687631507082</v>
      </c>
      <c r="AC101" s="271"/>
      <c r="AD101" s="271"/>
    </row>
    <row r="102" spans="3:30" x14ac:dyDescent="0.25">
      <c r="E102" s="88"/>
      <c r="F102" t="s">
        <v>156</v>
      </c>
      <c r="G102" t="s">
        <v>268</v>
      </c>
      <c r="H102" s="286"/>
      <c r="I102" s="271"/>
      <c r="J102" s="342">
        <f t="shared" ref="J102:AB102" si="16" xml:space="preserve"> J91 + J45</f>
        <v>2.030113890331732</v>
      </c>
      <c r="K102" s="342">
        <f t="shared" si="16"/>
        <v>2.030113890331732</v>
      </c>
      <c r="L102" s="342">
        <f t="shared" si="16"/>
        <v>2.1727243455075054</v>
      </c>
      <c r="M102" s="342">
        <f t="shared" si="16"/>
        <v>2.1727243455075054</v>
      </c>
      <c r="N102" s="342">
        <f t="shared" si="16"/>
        <v>1.8130518310452894</v>
      </c>
      <c r="O102" s="342">
        <f t="shared" si="16"/>
        <v>1.5011295927806836</v>
      </c>
      <c r="P102" s="342">
        <f t="shared" si="16"/>
        <v>1.3997210263880107</v>
      </c>
      <c r="Q102" s="342">
        <f t="shared" ref="Q102:S102" si="17" xml:space="preserve"> Q91 + Q45</f>
        <v>0.66594714340259142</v>
      </c>
      <c r="R102" s="342">
        <f t="shared" si="17"/>
        <v>0.35402490513798557</v>
      </c>
      <c r="S102" s="342">
        <f t="shared" si="17"/>
        <v>0.25261633874531259</v>
      </c>
      <c r="T102" s="342">
        <f t="shared" si="16"/>
        <v>2.3423494600656296</v>
      </c>
      <c r="U102" s="342">
        <f t="shared" si="16"/>
        <v>-0.63144411448010185</v>
      </c>
      <c r="V102" s="342">
        <f t="shared" si="16"/>
        <v>-0.54797375527131609</v>
      </c>
      <c r="W102" s="342">
        <f t="shared" si="16"/>
        <v>-0.63144411448010185</v>
      </c>
      <c r="X102" s="342">
        <f t="shared" si="16"/>
        <v>-0.63144411448010185</v>
      </c>
      <c r="Y102" s="342">
        <f t="shared" si="16"/>
        <v>-0.54797375527131609</v>
      </c>
      <c r="Z102" s="342">
        <f t="shared" si="16"/>
        <v>-0.54797375527131609</v>
      </c>
      <c r="AA102" s="342">
        <f t="shared" si="16"/>
        <v>-0.31633967493658671</v>
      </c>
      <c r="AB102" s="342">
        <f t="shared" si="16"/>
        <v>-0.31633967493658671</v>
      </c>
      <c r="AC102" s="271"/>
      <c r="AD102" s="271"/>
    </row>
    <row r="103" spans="3:30" x14ac:dyDescent="0.25">
      <c r="E103" s="88"/>
      <c r="F103" t="s">
        <v>157</v>
      </c>
      <c r="G103" t="s">
        <v>268</v>
      </c>
      <c r="H103" s="286"/>
      <c r="I103" s="271"/>
      <c r="J103" s="342">
        <f t="shared" ref="J103:AB103" si="18" xml:space="preserve"> J92 + J46</f>
        <v>1.1699297081920386</v>
      </c>
      <c r="K103" s="342">
        <f t="shared" si="18"/>
        <v>1.1699297081920386</v>
      </c>
      <c r="L103" s="342">
        <f t="shared" si="18"/>
        <v>1.1736160645290112</v>
      </c>
      <c r="M103" s="342">
        <f t="shared" si="18"/>
        <v>1.1736160645290112</v>
      </c>
      <c r="N103" s="342">
        <f t="shared" si="18"/>
        <v>1.1632853758630821</v>
      </c>
      <c r="O103" s="342">
        <f t="shared" si="18"/>
        <v>1.1538872527162751</v>
      </c>
      <c r="P103" s="342">
        <f t="shared" si="18"/>
        <v>1.1511545866262785</v>
      </c>
      <c r="Q103" s="342">
        <f t="shared" ref="Q103:S103" si="19" xml:space="preserve"> Q92 + Q46</f>
        <v>1.6180688220383998E-2</v>
      </c>
      <c r="R103" s="342">
        <f t="shared" si="19"/>
        <v>6.782565073577133E-3</v>
      </c>
      <c r="S103" s="342">
        <f t="shared" si="19"/>
        <v>4.0498989835803315E-3</v>
      </c>
      <c r="T103" s="342">
        <f t="shared" si="18"/>
        <v>1.596395900786951</v>
      </c>
      <c r="U103" s="342">
        <f t="shared" si="18"/>
        <v>-1.632228163067535E-2</v>
      </c>
      <c r="V103" s="342">
        <f t="shared" si="18"/>
        <v>-1.3737723553938727E-2</v>
      </c>
      <c r="W103" s="342">
        <f t="shared" si="18"/>
        <v>-1.632228163067535E-2</v>
      </c>
      <c r="X103" s="342">
        <f t="shared" si="18"/>
        <v>-1.632228163067535E-2</v>
      </c>
      <c r="Y103" s="342">
        <f t="shared" si="18"/>
        <v>-1.3737723553938727E-2</v>
      </c>
      <c r="Z103" s="342">
        <f t="shared" si="18"/>
        <v>-1.3737723553938727E-2</v>
      </c>
      <c r="AA103" s="342">
        <f t="shared" si="18"/>
        <v>-6.0015573611233893E-3</v>
      </c>
      <c r="AB103" s="342">
        <f t="shared" si="18"/>
        <v>-6.0015573611233893E-3</v>
      </c>
      <c r="AC103" s="271"/>
      <c r="AD103" s="271"/>
    </row>
    <row r="104" spans="3:30" x14ac:dyDescent="0.25">
      <c r="E104" s="88"/>
      <c r="F104" t="s">
        <v>158</v>
      </c>
      <c r="G104" t="s">
        <v>269</v>
      </c>
      <c r="H104" s="51"/>
      <c r="J104" s="343">
        <f t="shared" ref="J104:AB104" si="20" xml:space="preserve"> J93 + J47</f>
        <v>4.7635328700961326</v>
      </c>
      <c r="K104" s="343">
        <f t="shared" si="20"/>
        <v>0</v>
      </c>
      <c r="L104" s="343">
        <f t="shared" si="20"/>
        <v>6.0363558223609992</v>
      </c>
      <c r="M104" s="343">
        <f t="shared" si="20"/>
        <v>0</v>
      </c>
      <c r="N104" s="343">
        <f t="shared" si="20"/>
        <v>23.420812789608735</v>
      </c>
      <c r="O104" s="343">
        <f t="shared" si="20"/>
        <v>8.3860665575209588</v>
      </c>
      <c r="P104" s="343">
        <f t="shared" si="20"/>
        <v>124.34989935742745</v>
      </c>
      <c r="Q104" s="343">
        <f t="shared" ref="Q104:S104" si="21" xml:space="preserve"> Q93 + Q47</f>
        <v>23.420812789608735</v>
      </c>
      <c r="R104" s="343">
        <f t="shared" si="21"/>
        <v>8.3860665575209588</v>
      </c>
      <c r="S104" s="343">
        <f t="shared" si="21"/>
        <v>124.34989935742745</v>
      </c>
      <c r="T104" s="343">
        <f t="shared" si="20"/>
        <v>0</v>
      </c>
      <c r="U104" s="343">
        <f t="shared" si="20"/>
        <v>0</v>
      </c>
      <c r="V104" s="343">
        <f t="shared" si="20"/>
        <v>0</v>
      </c>
      <c r="W104" s="343">
        <f t="shared" si="20"/>
        <v>0</v>
      </c>
      <c r="X104" s="343">
        <f t="shared" si="20"/>
        <v>0</v>
      </c>
      <c r="Y104" s="343">
        <f t="shared" si="20"/>
        <v>0</v>
      </c>
      <c r="Z104" s="343">
        <f t="shared" si="20"/>
        <v>0</v>
      </c>
      <c r="AA104" s="343">
        <f t="shared" si="20"/>
        <v>90.667330037272208</v>
      </c>
      <c r="AB104" s="343">
        <f t="shared" si="20"/>
        <v>90.667330037272208</v>
      </c>
    </row>
    <row r="105" spans="3:30" x14ac:dyDescent="0.25">
      <c r="E105" s="88"/>
      <c r="F105" t="s">
        <v>159</v>
      </c>
      <c r="G105" t="s">
        <v>270</v>
      </c>
      <c r="H105" s="51"/>
      <c r="J105" s="343">
        <f t="shared" ref="J105:AB105" si="22" xml:space="preserve"> J94 + J48</f>
        <v>0</v>
      </c>
      <c r="K105" s="343">
        <f t="shared" si="22"/>
        <v>0</v>
      </c>
      <c r="L105" s="343">
        <f t="shared" si="22"/>
        <v>0</v>
      </c>
      <c r="M105" s="343">
        <f t="shared" si="22"/>
        <v>0</v>
      </c>
      <c r="N105" s="343">
        <f t="shared" si="22"/>
        <v>2.498083735110924</v>
      </c>
      <c r="O105" s="343">
        <f t="shared" si="22"/>
        <v>4.5053338960962241</v>
      </c>
      <c r="P105" s="343">
        <f t="shared" si="22"/>
        <v>4.9643297738527297</v>
      </c>
      <c r="Q105" s="343">
        <f t="shared" ref="Q105:S105" si="23" xml:space="preserve"> Q94 + Q48</f>
        <v>2.498083735110924</v>
      </c>
      <c r="R105" s="343">
        <f t="shared" si="23"/>
        <v>4.5053338960962241</v>
      </c>
      <c r="S105" s="343">
        <f t="shared" si="23"/>
        <v>4.9643297738527297</v>
      </c>
      <c r="T105" s="343">
        <f t="shared" si="22"/>
        <v>0</v>
      </c>
      <c r="U105" s="343">
        <f t="shared" si="22"/>
        <v>0</v>
      </c>
      <c r="V105" s="343">
        <f t="shared" si="22"/>
        <v>0</v>
      </c>
      <c r="W105" s="343">
        <f t="shared" si="22"/>
        <v>0</v>
      </c>
      <c r="X105" s="343">
        <f t="shared" si="22"/>
        <v>0</v>
      </c>
      <c r="Y105" s="343">
        <f t="shared" si="22"/>
        <v>0</v>
      </c>
      <c r="Z105" s="343">
        <f t="shared" si="22"/>
        <v>0</v>
      </c>
      <c r="AA105" s="343">
        <f t="shared" si="22"/>
        <v>0</v>
      </c>
      <c r="AB105" s="343">
        <f t="shared" si="22"/>
        <v>0</v>
      </c>
    </row>
    <row r="106" spans="3:30" x14ac:dyDescent="0.25">
      <c r="E106" s="88"/>
      <c r="F106" t="s">
        <v>160</v>
      </c>
      <c r="G106" t="s">
        <v>270</v>
      </c>
      <c r="H106" s="51"/>
      <c r="J106" s="343">
        <f t="shared" ref="J106:AB106" si="24" xml:space="preserve"> J95 + J49</f>
        <v>0</v>
      </c>
      <c r="K106" s="343">
        <f t="shared" si="24"/>
        <v>0</v>
      </c>
      <c r="L106" s="343">
        <f t="shared" si="24"/>
        <v>0</v>
      </c>
      <c r="M106" s="343">
        <f t="shared" si="24"/>
        <v>0</v>
      </c>
      <c r="N106" s="343">
        <f t="shared" si="24"/>
        <v>3.691279099689118</v>
      </c>
      <c r="O106" s="343">
        <f t="shared" si="24"/>
        <v>5.1392827901526239</v>
      </c>
      <c r="P106" s="343">
        <f t="shared" si="24"/>
        <v>6.1243810865470367</v>
      </c>
      <c r="Q106" s="343">
        <f t="shared" ref="Q106:S106" si="25" xml:space="preserve"> Q95 + Q49</f>
        <v>3.691279099689118</v>
      </c>
      <c r="R106" s="343">
        <f t="shared" si="25"/>
        <v>5.1392827901526239</v>
      </c>
      <c r="S106" s="343">
        <f t="shared" si="25"/>
        <v>6.1243810865470367</v>
      </c>
      <c r="T106" s="343">
        <f t="shared" si="24"/>
        <v>0</v>
      </c>
      <c r="U106" s="343">
        <f t="shared" si="24"/>
        <v>0</v>
      </c>
      <c r="V106" s="343">
        <f t="shared" si="24"/>
        <v>0</v>
      </c>
      <c r="W106" s="343">
        <f t="shared" si="24"/>
        <v>0</v>
      </c>
      <c r="X106" s="343">
        <f t="shared" si="24"/>
        <v>0</v>
      </c>
      <c r="Y106" s="343">
        <f t="shared" si="24"/>
        <v>0</v>
      </c>
      <c r="Z106" s="343">
        <f t="shared" si="24"/>
        <v>0</v>
      </c>
      <c r="AA106" s="343">
        <f t="shared" si="24"/>
        <v>0</v>
      </c>
      <c r="AB106" s="343">
        <f t="shared" si="24"/>
        <v>0</v>
      </c>
    </row>
    <row r="107" spans="3:30" x14ac:dyDescent="0.25">
      <c r="E107" s="88"/>
      <c r="F107" s="37" t="s">
        <v>161</v>
      </c>
      <c r="G107" s="37" t="s">
        <v>271</v>
      </c>
      <c r="H107" s="290"/>
      <c r="I107" s="275"/>
      <c r="J107" s="291">
        <f t="shared" ref="J107:AB107" si="26" xml:space="preserve"> J96 + J50</f>
        <v>0</v>
      </c>
      <c r="K107" s="291">
        <f t="shared" si="26"/>
        <v>0</v>
      </c>
      <c r="L107" s="291">
        <f t="shared" si="26"/>
        <v>0</v>
      </c>
      <c r="M107" s="291">
        <f t="shared" si="26"/>
        <v>0</v>
      </c>
      <c r="N107" s="291">
        <f t="shared" si="26"/>
        <v>0.23544821131127469</v>
      </c>
      <c r="O107" s="291">
        <f t="shared" si="26"/>
        <v>0.13709057031775684</v>
      </c>
      <c r="P107" s="291">
        <f t="shared" si="26"/>
        <v>0.10158869577513742</v>
      </c>
      <c r="Q107" s="291">
        <f t="shared" ref="Q107:S107" si="27" xml:space="preserve"> Q96 + Q50</f>
        <v>0.23544821131127469</v>
      </c>
      <c r="R107" s="291">
        <f t="shared" si="27"/>
        <v>0.13709057031775684</v>
      </c>
      <c r="S107" s="291">
        <f t="shared" si="27"/>
        <v>0.10158869577513742</v>
      </c>
      <c r="T107" s="291">
        <f t="shared" si="26"/>
        <v>0</v>
      </c>
      <c r="U107" s="291">
        <f t="shared" si="26"/>
        <v>0</v>
      </c>
      <c r="V107" s="291">
        <f t="shared" si="26"/>
        <v>0</v>
      </c>
      <c r="W107" s="291">
        <f t="shared" si="26"/>
        <v>0.20319917220642791</v>
      </c>
      <c r="X107" s="291">
        <f t="shared" si="26"/>
        <v>0</v>
      </c>
      <c r="Y107" s="291">
        <f t="shared" si="26"/>
        <v>0.1816089264144457</v>
      </c>
      <c r="Z107" s="291">
        <f t="shared" si="26"/>
        <v>0</v>
      </c>
      <c r="AA107" s="291">
        <f t="shared" si="26"/>
        <v>0.15574087273376108</v>
      </c>
      <c r="AB107" s="291">
        <f t="shared" si="26"/>
        <v>0</v>
      </c>
      <c r="AC107" s="271"/>
      <c r="AD107" s="271"/>
    </row>
    <row r="108" spans="3:30" x14ac:dyDescent="0.25">
      <c r="E108" s="32"/>
      <c r="J108" s="89"/>
      <c r="K108" s="89"/>
      <c r="L108" s="89"/>
      <c r="M108" s="89"/>
      <c r="N108" s="89"/>
      <c r="O108" s="89"/>
      <c r="P108" s="89"/>
      <c r="Q108" s="89"/>
      <c r="R108" s="89"/>
      <c r="S108" s="89"/>
      <c r="T108" s="89"/>
      <c r="U108" s="89"/>
      <c r="V108" s="89"/>
      <c r="W108" s="89"/>
      <c r="X108" s="89"/>
      <c r="Y108" s="89"/>
      <c r="Z108" s="89"/>
      <c r="AA108" s="89"/>
      <c r="AB108" s="89"/>
    </row>
    <row r="109" spans="3:30" x14ac:dyDescent="0.25">
      <c r="E109" s="32" t="s">
        <v>1006</v>
      </c>
      <c r="I109" t="s">
        <v>153</v>
      </c>
      <c r="J109" s="89"/>
      <c r="K109" s="89"/>
      <c r="L109" s="89"/>
      <c r="M109" s="89"/>
      <c r="N109" s="89"/>
      <c r="O109" s="89"/>
      <c r="P109" s="89"/>
      <c r="Q109" s="89"/>
      <c r="R109" s="89"/>
      <c r="S109" s="89"/>
      <c r="T109" s="89"/>
      <c r="U109" s="89"/>
      <c r="V109" s="89"/>
      <c r="W109" s="89"/>
      <c r="X109" s="89"/>
      <c r="Y109" s="89"/>
      <c r="Z109" s="89"/>
      <c r="AA109" s="89"/>
      <c r="AB109" s="89"/>
      <c r="AD109" t="s">
        <v>1019</v>
      </c>
    </row>
    <row r="110" spans="3:30" x14ac:dyDescent="0.25">
      <c r="E110" s="88"/>
      <c r="F110" s="23" t="s">
        <v>155</v>
      </c>
      <c r="G110" s="23" t="s">
        <v>268</v>
      </c>
      <c r="H110" s="285"/>
      <c r="I110" s="269"/>
      <c r="J110" s="288">
        <f xml:space="preserve"> J90 * (1 - J55) + J44</f>
        <v>6.1875292734732961</v>
      </c>
      <c r="K110" s="288">
        <f t="shared" ref="K110:N110" si="28" xml:space="preserve"> K90 * (1 - K55) + K44</f>
        <v>6.1875292734732961</v>
      </c>
      <c r="L110" s="288">
        <f t="shared" si="28"/>
        <v>7.0739605829542516</v>
      </c>
      <c r="M110" s="288">
        <f t="shared" si="28"/>
        <v>7.0739605829542516</v>
      </c>
      <c r="N110" s="288">
        <f t="shared" si="28"/>
        <v>4.9847033781728065</v>
      </c>
      <c r="O110" s="287"/>
      <c r="P110" s="287"/>
      <c r="Q110" s="288">
        <f t="shared" ref="Q110" si="29" xml:space="preserve"> Q90 * (1 - Q55) + Q44</f>
        <v>4.2857408641185808</v>
      </c>
      <c r="R110" s="287"/>
      <c r="S110" s="287"/>
      <c r="T110" s="288">
        <f t="shared" ref="T110:U110" si="30" xml:space="preserve"> T90 * (1 - T55) + T44</f>
        <v>13.848923698768459</v>
      </c>
      <c r="U110" s="288">
        <f t="shared" si="30"/>
        <v>-6.4413635387668471</v>
      </c>
      <c r="V110" s="287"/>
      <c r="W110" s="288">
        <f t="shared" ref="W110" si="31" xml:space="preserve"> W90 * (1 - W55) + W44</f>
        <v>-6.4413635387668471</v>
      </c>
      <c r="X110" s="287"/>
      <c r="Y110" s="287"/>
      <c r="Z110" s="287"/>
      <c r="AA110" s="287"/>
      <c r="AB110" s="287"/>
      <c r="AC110" s="271"/>
      <c r="AD110" s="271"/>
    </row>
    <row r="111" spans="3:30" x14ac:dyDescent="0.25">
      <c r="E111" s="88"/>
      <c r="F111" t="s">
        <v>156</v>
      </c>
      <c r="G111" t="s">
        <v>268</v>
      </c>
      <c r="H111" s="286"/>
      <c r="I111" s="271"/>
      <c r="J111" s="342">
        <f t="shared" ref="J111:N116" si="32" xml:space="preserve"> J91 * (1 - J56) + J45</f>
        <v>1.2370043675077855</v>
      </c>
      <c r="K111" s="342">
        <f t="shared" si="32"/>
        <v>1.2370043675077855</v>
      </c>
      <c r="L111" s="342">
        <f t="shared" si="32"/>
        <v>1.3239008498898053</v>
      </c>
      <c r="M111" s="342">
        <f t="shared" si="32"/>
        <v>1.3239008498898053</v>
      </c>
      <c r="N111" s="342">
        <f t="shared" si="32"/>
        <v>1.104742469967797</v>
      </c>
      <c r="O111" s="272"/>
      <c r="P111" s="272"/>
      <c r="Q111" s="342">
        <f t="shared" ref="Q111" si="33" xml:space="preserve"> Q91 * (1 - Q56) + Q45</f>
        <v>0.40577995591357141</v>
      </c>
      <c r="R111" s="272"/>
      <c r="S111" s="272"/>
      <c r="T111" s="342">
        <f t="shared" ref="T111:U111" si="34" xml:space="preserve"> T91 * (1 - T56) + T45</f>
        <v>1.4272581090793974</v>
      </c>
      <c r="U111" s="342">
        <f t="shared" si="34"/>
        <v>-0.63144411448010185</v>
      </c>
      <c r="V111" s="272"/>
      <c r="W111" s="342">
        <f t="shared" ref="W111" si="35" xml:space="preserve"> W91 * (1 - W56) + W45</f>
        <v>-0.63144411448010185</v>
      </c>
      <c r="X111" s="272"/>
      <c r="Y111" s="272"/>
      <c r="Z111" s="272"/>
      <c r="AA111" s="272"/>
      <c r="AB111" s="272"/>
      <c r="AC111" s="271"/>
      <c r="AD111" s="271"/>
    </row>
    <row r="112" spans="3:30" x14ac:dyDescent="0.25">
      <c r="E112" s="88"/>
      <c r="F112" t="s">
        <v>157</v>
      </c>
      <c r="G112" t="s">
        <v>268</v>
      </c>
      <c r="H112" s="286"/>
      <c r="I112" s="271"/>
      <c r="J112" s="342">
        <f t="shared" si="32"/>
        <v>0.71287042840447679</v>
      </c>
      <c r="K112" s="342">
        <f t="shared" si="32"/>
        <v>0.71287042840447679</v>
      </c>
      <c r="L112" s="342">
        <f t="shared" si="32"/>
        <v>0.71511662696049971</v>
      </c>
      <c r="M112" s="342">
        <f t="shared" si="32"/>
        <v>0.71511662696049971</v>
      </c>
      <c r="N112" s="342">
        <f t="shared" si="32"/>
        <v>0.70882185351947402</v>
      </c>
      <c r="O112" s="272"/>
      <c r="P112" s="272"/>
      <c r="Q112" s="342">
        <f t="shared" ref="Q112" si="36" xml:space="preserve"> Q92 * (1 - Q57) + Q46</f>
        <v>9.8593394652484873E-3</v>
      </c>
      <c r="R112" s="272"/>
      <c r="S112" s="272"/>
      <c r="T112" s="342">
        <f t="shared" ref="T112:U112" si="37" xml:space="preserve"> T92 * (1 - T57) + T46</f>
        <v>0.97272803804238739</v>
      </c>
      <c r="U112" s="342">
        <f t="shared" si="37"/>
        <v>-1.632228163067535E-2</v>
      </c>
      <c r="V112" s="272"/>
      <c r="W112" s="342">
        <f t="shared" ref="W112" si="38" xml:space="preserve"> W92 * (1 - W57) + W46</f>
        <v>-1.632228163067535E-2</v>
      </c>
      <c r="X112" s="272"/>
      <c r="Y112" s="272"/>
      <c r="Z112" s="272"/>
      <c r="AA112" s="272"/>
      <c r="AB112" s="272"/>
      <c r="AC112" s="271"/>
      <c r="AD112" s="271"/>
    </row>
    <row r="113" spans="1:30" x14ac:dyDescent="0.25">
      <c r="E113" s="88"/>
      <c r="F113" t="s">
        <v>158</v>
      </c>
      <c r="G113" t="s">
        <v>269</v>
      </c>
      <c r="H113" s="51"/>
      <c r="J113" s="343">
        <f t="shared" si="32"/>
        <v>2.9775183568745298</v>
      </c>
      <c r="K113" s="343">
        <f t="shared" si="32"/>
        <v>0</v>
      </c>
      <c r="L113" s="343">
        <f t="shared" si="32"/>
        <v>3.750508029949116</v>
      </c>
      <c r="M113" s="343">
        <f t="shared" si="32"/>
        <v>0</v>
      </c>
      <c r="N113" s="343">
        <f t="shared" si="32"/>
        <v>14.343336982871861</v>
      </c>
      <c r="O113" s="79"/>
      <c r="P113" s="79"/>
      <c r="Q113" s="343">
        <f t="shared" ref="Q113" si="39" xml:space="preserve"> Q93 * (1 - Q58) + Q47</f>
        <v>14.343336982871861</v>
      </c>
      <c r="R113" s="79"/>
      <c r="S113" s="79"/>
      <c r="T113" s="343">
        <f t="shared" ref="T113:U113" si="40" xml:space="preserve"> T93 * (1 - T58) + T47</f>
        <v>0</v>
      </c>
      <c r="U113" s="343">
        <f t="shared" si="40"/>
        <v>0</v>
      </c>
      <c r="V113" s="79"/>
      <c r="W113" s="343">
        <f t="shared" ref="W113" si="41" xml:space="preserve"> W93 * (1 - W58) + W47</f>
        <v>0</v>
      </c>
      <c r="X113" s="79"/>
      <c r="Y113" s="79"/>
      <c r="Z113" s="79"/>
      <c r="AA113" s="79"/>
      <c r="AB113" s="79"/>
    </row>
    <row r="114" spans="1:30" x14ac:dyDescent="0.25">
      <c r="E114" s="88"/>
      <c r="F114" t="s">
        <v>159</v>
      </c>
      <c r="G114" t="s">
        <v>270</v>
      </c>
      <c r="H114" s="51"/>
      <c r="J114" s="343">
        <f t="shared" si="32"/>
        <v>0</v>
      </c>
      <c r="K114" s="343">
        <f t="shared" si="32"/>
        <v>0</v>
      </c>
      <c r="L114" s="343">
        <f t="shared" si="32"/>
        <v>0</v>
      </c>
      <c r="M114" s="343">
        <f t="shared" si="32"/>
        <v>0</v>
      </c>
      <c r="N114" s="343">
        <f t="shared" si="32"/>
        <v>1.522151296756769</v>
      </c>
      <c r="O114" s="79"/>
      <c r="P114" s="79"/>
      <c r="Q114" s="343">
        <f t="shared" ref="Q114" si="42" xml:space="preserve"> Q94 * (1 - Q59) + Q48</f>
        <v>1.522151296756769</v>
      </c>
      <c r="R114" s="79"/>
      <c r="S114" s="79"/>
      <c r="T114" s="343">
        <f t="shared" ref="T114:U114" si="43" xml:space="preserve"> T94 * (1 - T59) + T48</f>
        <v>0</v>
      </c>
      <c r="U114" s="343">
        <f t="shared" si="43"/>
        <v>0</v>
      </c>
      <c r="V114" s="79"/>
      <c r="W114" s="343">
        <f t="shared" ref="W114" si="44" xml:space="preserve"> W94 * (1 - W59) + W48</f>
        <v>0</v>
      </c>
      <c r="X114" s="79"/>
      <c r="Y114" s="79"/>
      <c r="Z114" s="79"/>
      <c r="AA114" s="79"/>
      <c r="AB114" s="79"/>
    </row>
    <row r="115" spans="1:30" x14ac:dyDescent="0.25">
      <c r="E115" s="88"/>
      <c r="F115" t="s">
        <v>160</v>
      </c>
      <c r="G115" t="s">
        <v>270</v>
      </c>
      <c r="H115" s="51"/>
      <c r="J115" s="343">
        <f t="shared" si="32"/>
        <v>0</v>
      </c>
      <c r="K115" s="343">
        <f t="shared" si="32"/>
        <v>0</v>
      </c>
      <c r="L115" s="343">
        <f t="shared" si="32"/>
        <v>0</v>
      </c>
      <c r="M115" s="343">
        <f t="shared" si="32"/>
        <v>0</v>
      </c>
      <c r="N115" s="343">
        <f t="shared" si="32"/>
        <v>2.2491981310760427</v>
      </c>
      <c r="O115" s="79"/>
      <c r="P115" s="79"/>
      <c r="Q115" s="343">
        <f t="shared" ref="Q115" si="45" xml:space="preserve"> Q95 * (1 - Q60) + Q49</f>
        <v>2.2491981310760427</v>
      </c>
      <c r="R115" s="79"/>
      <c r="S115" s="79"/>
      <c r="T115" s="343">
        <f t="shared" ref="T115:U115" si="46" xml:space="preserve"> T95 * (1 - T60) + T49</f>
        <v>0</v>
      </c>
      <c r="U115" s="343">
        <f t="shared" si="46"/>
        <v>0</v>
      </c>
      <c r="V115" s="79"/>
      <c r="W115" s="343">
        <f t="shared" ref="W115" si="47" xml:space="preserve"> W95 * (1 - W60) + W49</f>
        <v>0</v>
      </c>
      <c r="X115" s="79"/>
      <c r="Y115" s="79"/>
      <c r="Z115" s="79"/>
      <c r="AA115" s="79"/>
      <c r="AB115" s="79"/>
    </row>
    <row r="116" spans="1:30" x14ac:dyDescent="0.25">
      <c r="E116" s="88"/>
      <c r="F116" s="37" t="s">
        <v>161</v>
      </c>
      <c r="G116" s="37" t="s">
        <v>271</v>
      </c>
      <c r="H116" s="290"/>
      <c r="I116" s="275"/>
      <c r="J116" s="291">
        <f t="shared" si="32"/>
        <v>0</v>
      </c>
      <c r="K116" s="291">
        <f t="shared" si="32"/>
        <v>0</v>
      </c>
      <c r="L116" s="291">
        <f t="shared" si="32"/>
        <v>0</v>
      </c>
      <c r="M116" s="291">
        <f t="shared" si="32"/>
        <v>0</v>
      </c>
      <c r="N116" s="291">
        <f t="shared" si="32"/>
        <v>0.14346508691014909</v>
      </c>
      <c r="O116" s="276"/>
      <c r="P116" s="276"/>
      <c r="Q116" s="291">
        <f t="shared" ref="Q116" si="48" xml:space="preserve"> Q96 * (1 - Q61) + Q50</f>
        <v>0.14346508691014909</v>
      </c>
      <c r="R116" s="276"/>
      <c r="S116" s="276"/>
      <c r="T116" s="291">
        <f t="shared" ref="T116:U116" si="49" xml:space="preserve"> T96 * (1 - T61) + T50</f>
        <v>0</v>
      </c>
      <c r="U116" s="291">
        <f t="shared" si="49"/>
        <v>0</v>
      </c>
      <c r="V116" s="276"/>
      <c r="W116" s="291">
        <f t="shared" ref="W116" si="50" xml:space="preserve"> W96 * (1 - W61) + W50</f>
        <v>0.20319917220642791</v>
      </c>
      <c r="X116" s="276"/>
      <c r="Y116" s="276"/>
      <c r="Z116" s="276"/>
      <c r="AA116" s="276"/>
      <c r="AB116" s="276"/>
      <c r="AC116" s="271"/>
      <c r="AD116" s="271"/>
    </row>
    <row r="117" spans="1:30" x14ac:dyDescent="0.25">
      <c r="E117" s="88"/>
      <c r="J117" s="89"/>
      <c r="K117" s="89"/>
      <c r="L117" s="89"/>
      <c r="M117" s="89"/>
      <c r="N117" s="89"/>
      <c r="O117" s="89"/>
      <c r="P117" s="89"/>
      <c r="Q117" s="89"/>
      <c r="R117" s="89"/>
      <c r="S117" s="89"/>
      <c r="T117" s="89"/>
      <c r="U117" s="89"/>
      <c r="V117" s="89"/>
      <c r="W117" s="89"/>
      <c r="X117" s="89"/>
      <c r="Y117" s="89"/>
      <c r="Z117" s="89"/>
      <c r="AA117" s="89"/>
      <c r="AB117" s="89"/>
    </row>
    <row r="118" spans="1:30" x14ac:dyDescent="0.25">
      <c r="E118" s="32" t="s">
        <v>1007</v>
      </c>
      <c r="I118" t="s">
        <v>153</v>
      </c>
      <c r="J118" s="89"/>
      <c r="K118" s="89"/>
      <c r="L118" s="89"/>
      <c r="M118" s="89"/>
      <c r="N118" s="89"/>
      <c r="O118" s="89"/>
      <c r="P118" s="89"/>
      <c r="Q118" s="89"/>
      <c r="R118" s="89"/>
      <c r="S118" s="89"/>
      <c r="T118" s="89"/>
      <c r="U118" s="89"/>
      <c r="V118" s="89"/>
      <c r="W118" s="89"/>
      <c r="X118" s="89"/>
      <c r="Y118" s="89"/>
      <c r="Z118" s="89"/>
      <c r="AA118" s="89"/>
      <c r="AB118" s="89"/>
      <c r="AD118" t="s">
        <v>1019</v>
      </c>
    </row>
    <row r="119" spans="1:30" x14ac:dyDescent="0.25">
      <c r="C119" s="88"/>
      <c r="F119" s="23" t="s">
        <v>155</v>
      </c>
      <c r="G119" s="23" t="s">
        <v>268</v>
      </c>
      <c r="H119" s="285"/>
      <c r="I119" s="269"/>
      <c r="J119" s="288">
        <f>J90 * (1 - J64) + J44</f>
        <v>4.0251353737779647</v>
      </c>
      <c r="K119" s="288">
        <f t="shared" ref="K119:W119" si="51">K90 * (1 - K64) + K44</f>
        <v>4.0251353737779647</v>
      </c>
      <c r="L119" s="288">
        <f t="shared" si="51"/>
        <v>4.601780083244245</v>
      </c>
      <c r="M119" s="288">
        <f t="shared" si="51"/>
        <v>4.601780083244245</v>
      </c>
      <c r="N119" s="288">
        <f t="shared" si="51"/>
        <v>3.242668439774691</v>
      </c>
      <c r="O119" s="288">
        <f t="shared" si="51"/>
        <v>3.4605183141678335</v>
      </c>
      <c r="P119" s="288">
        <f t="shared" si="51"/>
        <v>3.217909138887165</v>
      </c>
      <c r="Q119" s="288">
        <f t="shared" ref="Q119:S119" si="52">Q90 * (1 - Q64) + Q44</f>
        <v>2.7879766531312056</v>
      </c>
      <c r="R119" s="288">
        <f t="shared" si="52"/>
        <v>2.7128268590888047</v>
      </c>
      <c r="S119" s="288">
        <f t="shared" si="52"/>
        <v>2.3595766922285826</v>
      </c>
      <c r="T119" s="288">
        <f t="shared" si="51"/>
        <v>9.0090551825985585</v>
      </c>
      <c r="U119" s="288">
        <f t="shared" si="51"/>
        <v>-6.4413635387668471</v>
      </c>
      <c r="V119" s="288">
        <f t="shared" si="51"/>
        <v>-5.6891199709087141</v>
      </c>
      <c r="W119" s="288">
        <f t="shared" si="51"/>
        <v>-6.4413635387668471</v>
      </c>
      <c r="X119" s="287"/>
      <c r="Y119" s="288">
        <f t="shared" ref="Y119" si="53">Y90 * (1 - Y64) + Y44</f>
        <v>-5.6891199709087141</v>
      </c>
      <c r="Z119" s="287"/>
      <c r="AA119" s="288">
        <f t="shared" ref="AA119" si="54">AA90 * (1 - AA64) + AA44</f>
        <v>-3.732687631507082</v>
      </c>
      <c r="AB119" s="287"/>
      <c r="AC119" s="271"/>
      <c r="AD119" s="271"/>
    </row>
    <row r="120" spans="1:30" x14ac:dyDescent="0.25">
      <c r="C120" s="88"/>
      <c r="F120" t="s">
        <v>156</v>
      </c>
      <c r="G120" t="s">
        <v>268</v>
      </c>
      <c r="H120" s="286"/>
      <c r="I120" s="271"/>
      <c r="J120" s="342">
        <f t="shared" ref="J120:W125" si="55">J91 * (1 - J65) + J45</f>
        <v>0.80470084537934805</v>
      </c>
      <c r="K120" s="342">
        <f t="shared" si="55"/>
        <v>0.80470084537934805</v>
      </c>
      <c r="L120" s="342">
        <f t="shared" si="55"/>
        <v>0.86122907977368846</v>
      </c>
      <c r="M120" s="342">
        <f t="shared" si="55"/>
        <v>0.86122907977368846</v>
      </c>
      <c r="N120" s="342">
        <f t="shared" si="55"/>
        <v>0.71866132639500158</v>
      </c>
      <c r="O120" s="342">
        <f t="shared" si="55"/>
        <v>0.97844754849260995</v>
      </c>
      <c r="P120" s="342">
        <f t="shared" si="55"/>
        <v>1.047355124742813</v>
      </c>
      <c r="Q120" s="342">
        <f t="shared" ref="Q120:S120" si="56">Q91 * (1 - Q65) + Q45</f>
        <v>0.26396953975151616</v>
      </c>
      <c r="R120" s="342">
        <f t="shared" si="56"/>
        <v>0.23075609341358136</v>
      </c>
      <c r="S120" s="342">
        <f t="shared" si="56"/>
        <v>0.18902267808423046</v>
      </c>
      <c r="T120" s="342">
        <f t="shared" si="55"/>
        <v>0.92846544209432014</v>
      </c>
      <c r="U120" s="342">
        <f t="shared" si="55"/>
        <v>-0.63144411448010185</v>
      </c>
      <c r="V120" s="342">
        <f t="shared" si="55"/>
        <v>-0.54797375527131609</v>
      </c>
      <c r="W120" s="342">
        <f t="shared" si="55"/>
        <v>-0.63144411448010185</v>
      </c>
      <c r="X120" s="272"/>
      <c r="Y120" s="342">
        <f t="shared" ref="Y120" si="57">Y91 * (1 - Y65) + Y45</f>
        <v>-0.54797375527131609</v>
      </c>
      <c r="Z120" s="272"/>
      <c r="AA120" s="342">
        <f t="shared" ref="AA120" si="58">AA91 * (1 - AA65) + AA45</f>
        <v>-0.31633967493658671</v>
      </c>
      <c r="AB120" s="272"/>
      <c r="AC120" s="271"/>
      <c r="AD120" s="271"/>
    </row>
    <row r="121" spans="1:30" x14ac:dyDescent="0.25">
      <c r="C121" s="88"/>
      <c r="F121" t="s">
        <v>157</v>
      </c>
      <c r="G121" t="s">
        <v>268</v>
      </c>
      <c r="H121" s="286"/>
      <c r="I121" s="271"/>
      <c r="J121" s="342">
        <f t="shared" si="55"/>
        <v>0.46373921665188461</v>
      </c>
      <c r="K121" s="342">
        <f t="shared" si="55"/>
        <v>0.46373921665188461</v>
      </c>
      <c r="L121" s="342">
        <f t="shared" si="55"/>
        <v>0.46520042238761145</v>
      </c>
      <c r="M121" s="342">
        <f t="shared" si="55"/>
        <v>0.46520042238761145</v>
      </c>
      <c r="N121" s="342">
        <f t="shared" si="55"/>
        <v>0.46110552212491457</v>
      </c>
      <c r="O121" s="342">
        <f t="shared" si="55"/>
        <v>0.75211238196012475</v>
      </c>
      <c r="P121" s="342">
        <f t="shared" si="55"/>
        <v>0.86136282369456185</v>
      </c>
      <c r="Q121" s="342">
        <f t="shared" ref="Q121:S121" si="59">Q92 * (1 - Q66) + Q46</f>
        <v>6.4137354814290844E-3</v>
      </c>
      <c r="R121" s="342">
        <f t="shared" si="59"/>
        <v>4.4209268810962189E-3</v>
      </c>
      <c r="S121" s="342">
        <f t="shared" si="59"/>
        <v>3.0303770359792759E-3</v>
      </c>
      <c r="T121" s="342">
        <f t="shared" si="55"/>
        <v>0.63278278969534618</v>
      </c>
      <c r="U121" s="342">
        <f t="shared" si="55"/>
        <v>-1.632228163067535E-2</v>
      </c>
      <c r="V121" s="342">
        <f t="shared" si="55"/>
        <v>-1.3737723553938727E-2</v>
      </c>
      <c r="W121" s="342">
        <f t="shared" si="55"/>
        <v>-1.632228163067535E-2</v>
      </c>
      <c r="X121" s="272"/>
      <c r="Y121" s="342">
        <f t="shared" ref="Y121" si="60">Y92 * (1 - Y66) + Y46</f>
        <v>-1.3737723553938727E-2</v>
      </c>
      <c r="Z121" s="272"/>
      <c r="AA121" s="342">
        <f t="shared" ref="AA121" si="61">AA92 * (1 - AA66) + AA46</f>
        <v>-6.0015573611233893E-3</v>
      </c>
      <c r="AB121" s="272"/>
      <c r="AC121" s="271"/>
      <c r="AD121" s="271"/>
    </row>
    <row r="122" spans="1:30" x14ac:dyDescent="0.25">
      <c r="C122" s="88"/>
      <c r="F122" t="s">
        <v>158</v>
      </c>
      <c r="G122" t="s">
        <v>269</v>
      </c>
      <c r="H122" s="51"/>
      <c r="J122" s="343">
        <f t="shared" si="55"/>
        <v>2.0040079621322442</v>
      </c>
      <c r="K122" s="343">
        <f t="shared" si="55"/>
        <v>0</v>
      </c>
      <c r="L122" s="343">
        <f t="shared" si="55"/>
        <v>2.5045514208408859</v>
      </c>
      <c r="M122" s="343">
        <f t="shared" si="55"/>
        <v>0</v>
      </c>
      <c r="N122" s="343">
        <f t="shared" si="55"/>
        <v>9.3954393087707722</v>
      </c>
      <c r="O122" s="343">
        <f t="shared" si="55"/>
        <v>5.5306198324560203</v>
      </c>
      <c r="P122" s="343">
        <f t="shared" si="55"/>
        <v>93.092690506522104</v>
      </c>
      <c r="Q122" s="343">
        <f t="shared" ref="Q122:S122" si="62">Q93 * (1 - Q67) + Q47</f>
        <v>9.3954393087707722</v>
      </c>
      <c r="R122" s="343">
        <f t="shared" si="62"/>
        <v>5.5306198324560203</v>
      </c>
      <c r="S122" s="343">
        <f t="shared" si="62"/>
        <v>93.092690506522104</v>
      </c>
      <c r="T122" s="343">
        <f t="shared" si="55"/>
        <v>0</v>
      </c>
      <c r="U122" s="343">
        <f t="shared" si="55"/>
        <v>0</v>
      </c>
      <c r="V122" s="343">
        <f t="shared" si="55"/>
        <v>0</v>
      </c>
      <c r="W122" s="343">
        <f t="shared" si="55"/>
        <v>0</v>
      </c>
      <c r="X122" s="79"/>
      <c r="Y122" s="343">
        <f t="shared" ref="Y122" si="63">Y93 * (1 - Y67) + Y47</f>
        <v>0</v>
      </c>
      <c r="Z122" s="79"/>
      <c r="AA122" s="343">
        <f t="shared" ref="AA122" si="64">AA93 * (1 - AA67) + AA47</f>
        <v>0</v>
      </c>
      <c r="AB122" s="79"/>
    </row>
    <row r="123" spans="1:30" x14ac:dyDescent="0.25">
      <c r="C123" s="88"/>
      <c r="F123" t="s">
        <v>159</v>
      </c>
      <c r="G123" t="s">
        <v>270</v>
      </c>
      <c r="H123" s="51"/>
      <c r="J123" s="343">
        <f t="shared" si="55"/>
        <v>0</v>
      </c>
      <c r="K123" s="343">
        <f t="shared" si="55"/>
        <v>0</v>
      </c>
      <c r="L123" s="343">
        <f t="shared" si="55"/>
        <v>0</v>
      </c>
      <c r="M123" s="343">
        <f t="shared" si="55"/>
        <v>0</v>
      </c>
      <c r="N123" s="343">
        <f t="shared" si="55"/>
        <v>0.99019572401609468</v>
      </c>
      <c r="O123" s="343">
        <f t="shared" si="55"/>
        <v>2.9366104878461727</v>
      </c>
      <c r="P123" s="343">
        <f t="shared" si="55"/>
        <v>3.7146089338781416</v>
      </c>
      <c r="Q123" s="343">
        <f t="shared" ref="Q123:S123" si="65">Q94 * (1 - Q68) + Q48</f>
        <v>0.99019572401609468</v>
      </c>
      <c r="R123" s="343">
        <f t="shared" si="65"/>
        <v>2.9366104878461727</v>
      </c>
      <c r="S123" s="343">
        <f t="shared" si="65"/>
        <v>3.7146089338781416</v>
      </c>
      <c r="T123" s="343">
        <f t="shared" si="55"/>
        <v>0</v>
      </c>
      <c r="U123" s="343">
        <f t="shared" si="55"/>
        <v>0</v>
      </c>
      <c r="V123" s="343">
        <f t="shared" si="55"/>
        <v>0</v>
      </c>
      <c r="W123" s="343">
        <f t="shared" si="55"/>
        <v>0</v>
      </c>
      <c r="X123" s="79"/>
      <c r="Y123" s="343">
        <f t="shared" ref="Y123" si="66">Y94 * (1 - Y68) + Y48</f>
        <v>0</v>
      </c>
      <c r="Z123" s="79"/>
      <c r="AA123" s="343">
        <f t="shared" ref="AA123" si="67">AA94 * (1 - AA68) + AA48</f>
        <v>0</v>
      </c>
      <c r="AB123" s="79"/>
    </row>
    <row r="124" spans="1:30" x14ac:dyDescent="0.25">
      <c r="C124" s="88"/>
      <c r="F124" t="s">
        <v>160</v>
      </c>
      <c r="G124" t="s">
        <v>270</v>
      </c>
      <c r="H124" s="51"/>
      <c r="J124" s="343">
        <f t="shared" si="55"/>
        <v>0</v>
      </c>
      <c r="K124" s="343">
        <f t="shared" si="55"/>
        <v>0</v>
      </c>
      <c r="L124" s="343">
        <f t="shared" si="55"/>
        <v>0</v>
      </c>
      <c r="M124" s="343">
        <f t="shared" si="55"/>
        <v>0</v>
      </c>
      <c r="N124" s="343">
        <f t="shared" si="55"/>
        <v>1.4631570308430213</v>
      </c>
      <c r="O124" s="343">
        <f t="shared" si="55"/>
        <v>3.349823140665888</v>
      </c>
      <c r="P124" s="343">
        <f t="shared" si="55"/>
        <v>4.5826288209911388</v>
      </c>
      <c r="Q124" s="343">
        <f t="shared" ref="Q124:S124" si="68">Q95 * (1 - Q69) + Q49</f>
        <v>1.4631570308430213</v>
      </c>
      <c r="R124" s="343">
        <f t="shared" si="68"/>
        <v>3.349823140665888</v>
      </c>
      <c r="S124" s="343">
        <f t="shared" si="68"/>
        <v>4.5826288209911388</v>
      </c>
      <c r="T124" s="343">
        <f t="shared" si="55"/>
        <v>0</v>
      </c>
      <c r="U124" s="343">
        <f t="shared" si="55"/>
        <v>0</v>
      </c>
      <c r="V124" s="343">
        <f t="shared" si="55"/>
        <v>0</v>
      </c>
      <c r="W124" s="343">
        <f t="shared" si="55"/>
        <v>0</v>
      </c>
      <c r="X124" s="79"/>
      <c r="Y124" s="343">
        <f t="shared" ref="Y124" si="69">Y95 * (1 - Y69) + Y49</f>
        <v>0</v>
      </c>
      <c r="Z124" s="79"/>
      <c r="AA124" s="343">
        <f t="shared" ref="AA124" si="70">AA95 * (1 - AA69) + AA49</f>
        <v>0</v>
      </c>
      <c r="AB124" s="79"/>
    </row>
    <row r="125" spans="1:30" x14ac:dyDescent="0.25">
      <c r="C125" s="88"/>
      <c r="F125" s="37" t="s">
        <v>161</v>
      </c>
      <c r="G125" s="37" t="s">
        <v>271</v>
      </c>
      <c r="H125" s="290"/>
      <c r="I125" s="275"/>
      <c r="J125" s="291">
        <f t="shared" si="55"/>
        <v>0</v>
      </c>
      <c r="K125" s="291">
        <f t="shared" si="55"/>
        <v>0</v>
      </c>
      <c r="L125" s="291">
        <f t="shared" si="55"/>
        <v>0</v>
      </c>
      <c r="M125" s="291">
        <f t="shared" si="55"/>
        <v>0</v>
      </c>
      <c r="N125" s="291">
        <f t="shared" si="55"/>
        <v>9.3327460881654487E-2</v>
      </c>
      <c r="O125" s="291">
        <f t="shared" si="55"/>
        <v>8.9356663870965553E-2</v>
      </c>
      <c r="P125" s="291">
        <f t="shared" si="55"/>
        <v>7.6014748032036922E-2</v>
      </c>
      <c r="Q125" s="291">
        <f t="shared" ref="Q125:S125" si="71">Q96 * (1 - Q70) + Q50</f>
        <v>9.3327460881654487E-2</v>
      </c>
      <c r="R125" s="291">
        <f t="shared" si="71"/>
        <v>8.9356663870965553E-2</v>
      </c>
      <c r="S125" s="291">
        <f t="shared" si="71"/>
        <v>7.6014748032036922E-2</v>
      </c>
      <c r="T125" s="291">
        <f t="shared" si="55"/>
        <v>0</v>
      </c>
      <c r="U125" s="291">
        <f t="shared" si="55"/>
        <v>0</v>
      </c>
      <c r="V125" s="291">
        <f t="shared" si="55"/>
        <v>0</v>
      </c>
      <c r="W125" s="291">
        <f t="shared" si="55"/>
        <v>0.20319917220642791</v>
      </c>
      <c r="X125" s="276"/>
      <c r="Y125" s="291">
        <f t="shared" ref="Y125" si="72">Y96 * (1 - Y70) + Y50</f>
        <v>0.1816089264144457</v>
      </c>
      <c r="Z125" s="276"/>
      <c r="AA125" s="291">
        <f t="shared" ref="AA125" si="73">AA96 * (1 - AA70) + AA50</f>
        <v>0.15574087273376108</v>
      </c>
      <c r="AB125" s="276"/>
      <c r="AC125" s="271"/>
      <c r="AD125" s="271"/>
    </row>
    <row r="126" spans="1:30" x14ac:dyDescent="0.25">
      <c r="A126" s="271"/>
      <c r="B126" s="271"/>
      <c r="C126" s="271"/>
      <c r="D126" s="271"/>
      <c r="E126" s="271"/>
      <c r="F126" s="271"/>
      <c r="G126" s="271"/>
      <c r="H126" s="271"/>
      <c r="I126" s="271"/>
      <c r="J126" s="271"/>
      <c r="K126" s="271"/>
      <c r="L126" s="271"/>
      <c r="M126" s="271"/>
      <c r="N126" s="271"/>
      <c r="O126" s="271"/>
      <c r="P126" s="271"/>
      <c r="Q126" s="271"/>
      <c r="R126" s="271"/>
      <c r="S126" s="271"/>
      <c r="T126" s="271"/>
      <c r="U126" s="271"/>
      <c r="V126" s="271"/>
      <c r="W126" s="271"/>
      <c r="X126" s="271"/>
      <c r="Y126" s="271"/>
      <c r="Z126" s="271"/>
      <c r="AA126" s="271"/>
      <c r="AB126" s="271"/>
      <c r="AC126" s="271"/>
      <c r="AD126" s="271"/>
    </row>
    <row r="127" spans="1:30" x14ac:dyDescent="0.25">
      <c r="C127" s="31" t="str">
        <f ca="1">INDEX('Version control'!$H$34:$H$57,MATCH($A$1,'Version control'!$F$34:$F$57,0),1)&amp;"-H: Tariff forecast, post-rounding"</f>
        <v>Section 117-H: Tariff forecast, post-rounding</v>
      </c>
      <c r="D127" s="31"/>
      <c r="E127" s="31"/>
      <c r="F127" s="31"/>
      <c r="G127" s="31"/>
      <c r="H127" s="31"/>
      <c r="I127" s="31"/>
      <c r="J127" s="90"/>
      <c r="K127" s="90"/>
      <c r="L127" s="90"/>
      <c r="M127" s="90"/>
      <c r="N127" s="90"/>
      <c r="O127" s="90"/>
      <c r="P127" s="90"/>
      <c r="Q127" s="90"/>
      <c r="R127" s="90"/>
      <c r="S127" s="90"/>
      <c r="T127" s="90"/>
      <c r="U127" s="90"/>
      <c r="V127" s="90"/>
      <c r="W127" s="90"/>
      <c r="X127" s="90"/>
      <c r="Y127" s="90"/>
      <c r="Z127" s="90"/>
      <c r="AA127" s="90"/>
      <c r="AB127" s="90"/>
      <c r="AC127" s="31"/>
      <c r="AD127" s="31"/>
    </row>
    <row r="128" spans="1:30" x14ac:dyDescent="0.25">
      <c r="J128" s="89"/>
      <c r="K128" s="89"/>
      <c r="L128" s="89"/>
      <c r="M128" s="89"/>
      <c r="N128" s="89"/>
      <c r="O128" s="89"/>
      <c r="P128" s="89"/>
      <c r="Q128" s="89"/>
      <c r="R128" s="89"/>
      <c r="S128" s="89"/>
      <c r="T128" s="89"/>
      <c r="U128" s="89"/>
      <c r="V128" s="89"/>
      <c r="W128" s="89"/>
      <c r="X128" s="89"/>
      <c r="Y128" s="89"/>
      <c r="Z128" s="89"/>
      <c r="AA128" s="89"/>
      <c r="AB128" s="89"/>
    </row>
    <row r="129" spans="5:30" x14ac:dyDescent="0.25">
      <c r="E129" s="32" t="s">
        <v>818</v>
      </c>
      <c r="F129" s="32"/>
      <c r="I129" t="s">
        <v>153</v>
      </c>
      <c r="J129" s="89"/>
      <c r="K129" s="89"/>
      <c r="L129" s="89"/>
      <c r="M129" s="89"/>
      <c r="N129" s="89"/>
      <c r="O129" s="89"/>
      <c r="P129" s="89"/>
      <c r="Q129" s="89"/>
      <c r="R129" s="89"/>
      <c r="S129" s="89"/>
      <c r="T129" s="89"/>
      <c r="U129" s="89"/>
      <c r="V129" s="89"/>
      <c r="W129" s="89"/>
      <c r="X129" s="89"/>
      <c r="Y129" s="89"/>
      <c r="Z129" s="89"/>
      <c r="AA129" s="89"/>
      <c r="AB129" s="89"/>
      <c r="AD129" t="s">
        <v>154</v>
      </c>
    </row>
    <row r="130" spans="5:30" x14ac:dyDescent="0.25">
      <c r="E130" s="88"/>
      <c r="F130" s="23" t="s">
        <v>155</v>
      </c>
      <c r="G130" s="23" t="s">
        <v>268</v>
      </c>
      <c r="H130" s="285"/>
      <c r="I130" s="269"/>
      <c r="J130" s="278">
        <f t="shared" ref="J130:AB130" si="74">ROUND(J101, $H75)</f>
        <v>10.154999999999999</v>
      </c>
      <c r="K130" s="278">
        <f t="shared" si="74"/>
        <v>10.154999999999999</v>
      </c>
      <c r="L130" s="278">
        <f t="shared" si="74"/>
        <v>11.609</v>
      </c>
      <c r="M130" s="278">
        <f t="shared" si="74"/>
        <v>11.609</v>
      </c>
      <c r="N130" s="278">
        <f t="shared" si="74"/>
        <v>8.1809999999999992</v>
      </c>
      <c r="O130" s="278">
        <f t="shared" si="74"/>
        <v>5.3090000000000002</v>
      </c>
      <c r="P130" s="278">
        <f t="shared" si="74"/>
        <v>4.3010000000000002</v>
      </c>
      <c r="Q130" s="278">
        <f t="shared" ref="Q130:S130" si="75">ROUND(Q101, $H75)</f>
        <v>7.0339999999999998</v>
      </c>
      <c r="R130" s="278">
        <f t="shared" si="75"/>
        <v>4.1619999999999999</v>
      </c>
      <c r="S130" s="278">
        <f t="shared" si="75"/>
        <v>3.153</v>
      </c>
      <c r="T130" s="278">
        <f t="shared" si="74"/>
        <v>22.728000000000002</v>
      </c>
      <c r="U130" s="278">
        <f t="shared" si="74"/>
        <v>-6.4409999999999998</v>
      </c>
      <c r="V130" s="278">
        <f t="shared" si="74"/>
        <v>-5.6890000000000001</v>
      </c>
      <c r="W130" s="278">
        <f t="shared" si="74"/>
        <v>-6.4409999999999998</v>
      </c>
      <c r="X130" s="278">
        <f t="shared" si="74"/>
        <v>-6.4409999999999998</v>
      </c>
      <c r="Y130" s="278">
        <f t="shared" si="74"/>
        <v>-5.6890000000000001</v>
      </c>
      <c r="Z130" s="278">
        <f t="shared" si="74"/>
        <v>-5.6890000000000001</v>
      </c>
      <c r="AA130" s="278">
        <f t="shared" si="74"/>
        <v>-3.7330000000000001</v>
      </c>
      <c r="AB130" s="278">
        <f t="shared" si="74"/>
        <v>-3.7330000000000001</v>
      </c>
      <c r="AC130" s="271"/>
      <c r="AD130" s="271"/>
    </row>
    <row r="131" spans="5:30" x14ac:dyDescent="0.25">
      <c r="E131" s="88"/>
      <c r="F131" t="s">
        <v>156</v>
      </c>
      <c r="G131" t="s">
        <v>268</v>
      </c>
      <c r="H131" s="286"/>
      <c r="I131" s="271"/>
      <c r="J131" s="279">
        <f t="shared" ref="J131:AB136" si="76">ROUND(J102, $H76)</f>
        <v>2.0299999999999998</v>
      </c>
      <c r="K131" s="279">
        <f t="shared" si="76"/>
        <v>2.0299999999999998</v>
      </c>
      <c r="L131" s="279">
        <f t="shared" si="76"/>
        <v>2.173</v>
      </c>
      <c r="M131" s="279">
        <f t="shared" si="76"/>
        <v>2.173</v>
      </c>
      <c r="N131" s="279">
        <f t="shared" si="76"/>
        <v>1.8129999999999999</v>
      </c>
      <c r="O131" s="279">
        <f t="shared" si="76"/>
        <v>1.5009999999999999</v>
      </c>
      <c r="P131" s="279">
        <f t="shared" si="76"/>
        <v>1.4</v>
      </c>
      <c r="Q131" s="279">
        <f t="shared" ref="Q131:S131" si="77">ROUND(Q102, $H76)</f>
        <v>0.66600000000000004</v>
      </c>
      <c r="R131" s="279">
        <f t="shared" si="77"/>
        <v>0.35399999999999998</v>
      </c>
      <c r="S131" s="279">
        <f t="shared" si="77"/>
        <v>0.253</v>
      </c>
      <c r="T131" s="279">
        <f t="shared" si="76"/>
        <v>2.3420000000000001</v>
      </c>
      <c r="U131" s="279">
        <f t="shared" si="76"/>
        <v>-0.63100000000000001</v>
      </c>
      <c r="V131" s="279">
        <f t="shared" si="76"/>
        <v>-0.54800000000000004</v>
      </c>
      <c r="W131" s="279">
        <f t="shared" si="76"/>
        <v>-0.63100000000000001</v>
      </c>
      <c r="X131" s="279">
        <f t="shared" si="76"/>
        <v>-0.63100000000000001</v>
      </c>
      <c r="Y131" s="279">
        <f t="shared" si="76"/>
        <v>-0.54800000000000004</v>
      </c>
      <c r="Z131" s="279">
        <f t="shared" si="76"/>
        <v>-0.54800000000000004</v>
      </c>
      <c r="AA131" s="279">
        <f t="shared" si="76"/>
        <v>-0.316</v>
      </c>
      <c r="AB131" s="279">
        <f t="shared" si="76"/>
        <v>-0.316</v>
      </c>
      <c r="AC131" s="271"/>
      <c r="AD131" s="271"/>
    </row>
    <row r="132" spans="5:30" x14ac:dyDescent="0.25">
      <c r="E132" s="88"/>
      <c r="F132" t="s">
        <v>157</v>
      </c>
      <c r="G132" t="s">
        <v>268</v>
      </c>
      <c r="H132" s="286"/>
      <c r="I132" s="271"/>
      <c r="J132" s="279">
        <f t="shared" si="76"/>
        <v>1.17</v>
      </c>
      <c r="K132" s="279">
        <f t="shared" si="76"/>
        <v>1.17</v>
      </c>
      <c r="L132" s="279">
        <f t="shared" si="76"/>
        <v>1.1739999999999999</v>
      </c>
      <c r="M132" s="279">
        <f t="shared" si="76"/>
        <v>1.1739999999999999</v>
      </c>
      <c r="N132" s="279">
        <f t="shared" si="76"/>
        <v>1.163</v>
      </c>
      <c r="O132" s="279">
        <f t="shared" si="76"/>
        <v>1.1539999999999999</v>
      </c>
      <c r="P132" s="279">
        <f t="shared" si="76"/>
        <v>1.151</v>
      </c>
      <c r="Q132" s="279">
        <f t="shared" ref="Q132:S132" si="78">ROUND(Q103, $H77)</f>
        <v>1.6E-2</v>
      </c>
      <c r="R132" s="279">
        <f t="shared" si="78"/>
        <v>7.0000000000000001E-3</v>
      </c>
      <c r="S132" s="279">
        <f t="shared" si="78"/>
        <v>4.0000000000000001E-3</v>
      </c>
      <c r="T132" s="279">
        <f t="shared" si="76"/>
        <v>1.5960000000000001</v>
      </c>
      <c r="U132" s="279">
        <f t="shared" si="76"/>
        <v>-1.6E-2</v>
      </c>
      <c r="V132" s="279">
        <f t="shared" si="76"/>
        <v>-1.4E-2</v>
      </c>
      <c r="W132" s="279">
        <f t="shared" si="76"/>
        <v>-1.6E-2</v>
      </c>
      <c r="X132" s="279">
        <f t="shared" si="76"/>
        <v>-1.6E-2</v>
      </c>
      <c r="Y132" s="279">
        <f t="shared" si="76"/>
        <v>-1.4E-2</v>
      </c>
      <c r="Z132" s="279">
        <f t="shared" si="76"/>
        <v>-1.4E-2</v>
      </c>
      <c r="AA132" s="279">
        <f t="shared" si="76"/>
        <v>-6.0000000000000001E-3</v>
      </c>
      <c r="AB132" s="279">
        <f t="shared" si="76"/>
        <v>-6.0000000000000001E-3</v>
      </c>
      <c r="AC132" s="271"/>
      <c r="AD132" s="271"/>
    </row>
    <row r="133" spans="5:30" x14ac:dyDescent="0.25">
      <c r="E133" s="88"/>
      <c r="F133" t="s">
        <v>158</v>
      </c>
      <c r="G133" t="s">
        <v>269</v>
      </c>
      <c r="H133" s="51"/>
      <c r="J133" s="121">
        <f t="shared" si="76"/>
        <v>4.76</v>
      </c>
      <c r="K133" s="121">
        <f t="shared" si="76"/>
        <v>0</v>
      </c>
      <c r="L133" s="121">
        <f t="shared" si="76"/>
        <v>6.04</v>
      </c>
      <c r="M133" s="121">
        <f t="shared" si="76"/>
        <v>0</v>
      </c>
      <c r="N133" s="121">
        <f t="shared" si="76"/>
        <v>23.42</v>
      </c>
      <c r="O133" s="121">
        <f t="shared" si="76"/>
        <v>8.39</v>
      </c>
      <c r="P133" s="121">
        <f t="shared" si="76"/>
        <v>124.35</v>
      </c>
      <c r="Q133" s="121">
        <f t="shared" ref="Q133:S133" si="79">ROUND(Q104, $H78)</f>
        <v>23.42</v>
      </c>
      <c r="R133" s="121">
        <f t="shared" si="79"/>
        <v>8.39</v>
      </c>
      <c r="S133" s="121">
        <f t="shared" si="79"/>
        <v>124.35</v>
      </c>
      <c r="T133" s="121">
        <f t="shared" si="76"/>
        <v>0</v>
      </c>
      <c r="U133" s="121">
        <f t="shared" si="76"/>
        <v>0</v>
      </c>
      <c r="V133" s="121">
        <f t="shared" si="76"/>
        <v>0</v>
      </c>
      <c r="W133" s="121">
        <f t="shared" si="76"/>
        <v>0</v>
      </c>
      <c r="X133" s="121">
        <f t="shared" si="76"/>
        <v>0</v>
      </c>
      <c r="Y133" s="121">
        <f t="shared" si="76"/>
        <v>0</v>
      </c>
      <c r="Z133" s="121">
        <f t="shared" si="76"/>
        <v>0</v>
      </c>
      <c r="AA133" s="121">
        <f t="shared" si="76"/>
        <v>90.67</v>
      </c>
      <c r="AB133" s="121">
        <f t="shared" si="76"/>
        <v>90.67</v>
      </c>
    </row>
    <row r="134" spans="5:30" x14ac:dyDescent="0.25">
      <c r="E134" s="88"/>
      <c r="F134" t="s">
        <v>159</v>
      </c>
      <c r="G134" t="s">
        <v>270</v>
      </c>
      <c r="H134" s="51"/>
      <c r="J134" s="121">
        <f t="shared" si="76"/>
        <v>0</v>
      </c>
      <c r="K134" s="121">
        <f t="shared" si="76"/>
        <v>0</v>
      </c>
      <c r="L134" s="121">
        <f t="shared" si="76"/>
        <v>0</v>
      </c>
      <c r="M134" s="121">
        <f t="shared" si="76"/>
        <v>0</v>
      </c>
      <c r="N134" s="121">
        <f t="shared" si="76"/>
        <v>2.5</v>
      </c>
      <c r="O134" s="121">
        <f t="shared" si="76"/>
        <v>4.51</v>
      </c>
      <c r="P134" s="121">
        <f t="shared" si="76"/>
        <v>4.96</v>
      </c>
      <c r="Q134" s="121">
        <f t="shared" ref="Q134:S134" si="80">ROUND(Q105, $H79)</f>
        <v>2.5</v>
      </c>
      <c r="R134" s="121">
        <f t="shared" si="80"/>
        <v>4.51</v>
      </c>
      <c r="S134" s="121">
        <f t="shared" si="80"/>
        <v>4.96</v>
      </c>
      <c r="T134" s="121">
        <f t="shared" si="76"/>
        <v>0</v>
      </c>
      <c r="U134" s="121">
        <f t="shared" si="76"/>
        <v>0</v>
      </c>
      <c r="V134" s="121">
        <f t="shared" si="76"/>
        <v>0</v>
      </c>
      <c r="W134" s="121">
        <f t="shared" si="76"/>
        <v>0</v>
      </c>
      <c r="X134" s="121">
        <f t="shared" si="76"/>
        <v>0</v>
      </c>
      <c r="Y134" s="121">
        <f t="shared" si="76"/>
        <v>0</v>
      </c>
      <c r="Z134" s="121">
        <f t="shared" si="76"/>
        <v>0</v>
      </c>
      <c r="AA134" s="121">
        <f t="shared" si="76"/>
        <v>0</v>
      </c>
      <c r="AB134" s="121">
        <f t="shared" si="76"/>
        <v>0</v>
      </c>
    </row>
    <row r="135" spans="5:30" x14ac:dyDescent="0.25">
      <c r="E135" s="88"/>
      <c r="F135" t="s">
        <v>160</v>
      </c>
      <c r="G135" t="s">
        <v>270</v>
      </c>
      <c r="H135" s="51"/>
      <c r="J135" s="121">
        <f t="shared" si="76"/>
        <v>0</v>
      </c>
      <c r="K135" s="121">
        <f t="shared" si="76"/>
        <v>0</v>
      </c>
      <c r="L135" s="121">
        <f t="shared" si="76"/>
        <v>0</v>
      </c>
      <c r="M135" s="121">
        <f t="shared" si="76"/>
        <v>0</v>
      </c>
      <c r="N135" s="121">
        <f t="shared" si="76"/>
        <v>3.69</v>
      </c>
      <c r="O135" s="121">
        <f t="shared" si="76"/>
        <v>5.14</v>
      </c>
      <c r="P135" s="121">
        <f t="shared" si="76"/>
        <v>6.12</v>
      </c>
      <c r="Q135" s="121">
        <f t="shared" ref="Q135:S135" si="81">ROUND(Q106, $H80)</f>
        <v>3.69</v>
      </c>
      <c r="R135" s="121">
        <f t="shared" si="81"/>
        <v>5.14</v>
      </c>
      <c r="S135" s="121">
        <f t="shared" si="81"/>
        <v>6.12</v>
      </c>
      <c r="T135" s="121">
        <f t="shared" si="76"/>
        <v>0</v>
      </c>
      <c r="U135" s="121">
        <f t="shared" si="76"/>
        <v>0</v>
      </c>
      <c r="V135" s="121">
        <f t="shared" si="76"/>
        <v>0</v>
      </c>
      <c r="W135" s="121">
        <f t="shared" si="76"/>
        <v>0</v>
      </c>
      <c r="X135" s="121">
        <f t="shared" si="76"/>
        <v>0</v>
      </c>
      <c r="Y135" s="121">
        <f t="shared" si="76"/>
        <v>0</v>
      </c>
      <c r="Z135" s="121">
        <f t="shared" si="76"/>
        <v>0</v>
      </c>
      <c r="AA135" s="121">
        <f t="shared" si="76"/>
        <v>0</v>
      </c>
      <c r="AB135" s="121">
        <f t="shared" si="76"/>
        <v>0</v>
      </c>
    </row>
    <row r="136" spans="5:30" x14ac:dyDescent="0.25">
      <c r="E136" s="88"/>
      <c r="F136" s="37" t="s">
        <v>161</v>
      </c>
      <c r="G136" s="37" t="s">
        <v>271</v>
      </c>
      <c r="H136" s="290"/>
      <c r="I136" s="275"/>
      <c r="J136" s="280">
        <f t="shared" si="76"/>
        <v>0</v>
      </c>
      <c r="K136" s="280">
        <f t="shared" si="76"/>
        <v>0</v>
      </c>
      <c r="L136" s="280">
        <f t="shared" si="76"/>
        <v>0</v>
      </c>
      <c r="M136" s="280">
        <f t="shared" si="76"/>
        <v>0</v>
      </c>
      <c r="N136" s="280">
        <f t="shared" si="76"/>
        <v>0.23499999999999999</v>
      </c>
      <c r="O136" s="280">
        <f t="shared" si="76"/>
        <v>0.13700000000000001</v>
      </c>
      <c r="P136" s="280">
        <f t="shared" si="76"/>
        <v>0.10199999999999999</v>
      </c>
      <c r="Q136" s="280">
        <f t="shared" ref="Q136:S136" si="82">ROUND(Q107, $H81)</f>
        <v>0.23499999999999999</v>
      </c>
      <c r="R136" s="280">
        <f t="shared" si="82"/>
        <v>0.13700000000000001</v>
      </c>
      <c r="S136" s="280">
        <f t="shared" si="82"/>
        <v>0.10199999999999999</v>
      </c>
      <c r="T136" s="280">
        <f t="shared" si="76"/>
        <v>0</v>
      </c>
      <c r="U136" s="280">
        <f t="shared" si="76"/>
        <v>0</v>
      </c>
      <c r="V136" s="280">
        <f t="shared" si="76"/>
        <v>0</v>
      </c>
      <c r="W136" s="280">
        <f t="shared" si="76"/>
        <v>0.20300000000000001</v>
      </c>
      <c r="X136" s="280">
        <f t="shared" si="76"/>
        <v>0</v>
      </c>
      <c r="Y136" s="280">
        <f t="shared" si="76"/>
        <v>0.182</v>
      </c>
      <c r="Z136" s="280">
        <f t="shared" si="76"/>
        <v>0</v>
      </c>
      <c r="AA136" s="280">
        <f t="shared" si="76"/>
        <v>0.156</v>
      </c>
      <c r="AB136" s="280">
        <f t="shared" si="76"/>
        <v>0</v>
      </c>
      <c r="AC136" s="271"/>
      <c r="AD136" s="271"/>
    </row>
    <row r="137" spans="5:30" x14ac:dyDescent="0.25">
      <c r="E137" s="32"/>
      <c r="J137" s="89"/>
      <c r="K137" s="89"/>
      <c r="L137" s="89"/>
      <c r="M137" s="89"/>
      <c r="N137" s="89"/>
      <c r="O137" s="89"/>
      <c r="P137" s="89"/>
      <c r="Q137" s="89"/>
      <c r="R137" s="89"/>
      <c r="S137" s="89"/>
      <c r="T137" s="89"/>
      <c r="U137" s="89"/>
      <c r="V137" s="89"/>
      <c r="W137" s="89"/>
      <c r="X137" s="89"/>
      <c r="Y137" s="89"/>
      <c r="Z137" s="89"/>
      <c r="AA137" s="89"/>
      <c r="AB137" s="89"/>
    </row>
    <row r="138" spans="5:30" x14ac:dyDescent="0.25">
      <c r="E138" s="32" t="s">
        <v>819</v>
      </c>
      <c r="I138" t="s">
        <v>153</v>
      </c>
      <c r="J138" s="89"/>
      <c r="K138" s="89"/>
      <c r="L138" s="89"/>
      <c r="M138" s="89"/>
      <c r="N138" s="89"/>
      <c r="O138" s="89"/>
      <c r="P138" s="89"/>
      <c r="Q138" s="89"/>
      <c r="R138" s="89"/>
      <c r="S138" s="89"/>
      <c r="T138" s="89"/>
      <c r="U138" s="89"/>
      <c r="V138" s="89"/>
      <c r="W138" s="89"/>
      <c r="X138" s="89"/>
      <c r="Y138" s="89"/>
      <c r="Z138" s="89"/>
      <c r="AA138" s="89"/>
      <c r="AB138" s="89"/>
      <c r="AD138" t="s">
        <v>154</v>
      </c>
    </row>
    <row r="139" spans="5:30" x14ac:dyDescent="0.25">
      <c r="E139" s="88"/>
      <c r="F139" s="23" t="s">
        <v>155</v>
      </c>
      <c r="G139" s="23" t="s">
        <v>268</v>
      </c>
      <c r="H139" s="285"/>
      <c r="I139" s="269"/>
      <c r="J139" s="278">
        <f>ROUND(J110, $H75)</f>
        <v>6.1879999999999997</v>
      </c>
      <c r="K139" s="278">
        <f>ROUND(K110, $H75)</f>
        <v>6.1879999999999997</v>
      </c>
      <c r="L139" s="278">
        <f>ROUND(L110, $H75)</f>
        <v>7.0739999999999998</v>
      </c>
      <c r="M139" s="278">
        <f>ROUND(M110, $H75)</f>
        <v>7.0739999999999998</v>
      </c>
      <c r="N139" s="278">
        <f>ROUND(N110, $H75)</f>
        <v>4.9850000000000003</v>
      </c>
      <c r="O139" s="287"/>
      <c r="P139" s="287"/>
      <c r="Q139" s="278">
        <f>ROUND(Q110, $H75)</f>
        <v>4.2859999999999996</v>
      </c>
      <c r="R139" s="287"/>
      <c r="S139" s="287"/>
      <c r="T139" s="278">
        <f>ROUND(T110, $H75)</f>
        <v>13.849</v>
      </c>
      <c r="U139" s="278">
        <f>ROUND(U110, $H75)</f>
        <v>-6.4409999999999998</v>
      </c>
      <c r="V139" s="287"/>
      <c r="W139" s="278">
        <f>ROUND(W110, $H75)</f>
        <v>-6.4409999999999998</v>
      </c>
      <c r="X139" s="287"/>
      <c r="Y139" s="287"/>
      <c r="Z139" s="287"/>
      <c r="AA139" s="287"/>
      <c r="AB139" s="287"/>
      <c r="AC139" s="271"/>
      <c r="AD139" s="271"/>
    </row>
    <row r="140" spans="5:30" x14ac:dyDescent="0.25">
      <c r="E140" s="88"/>
      <c r="F140" t="s">
        <v>156</v>
      </c>
      <c r="G140" t="s">
        <v>268</v>
      </c>
      <c r="H140" s="286"/>
      <c r="I140" s="271"/>
      <c r="J140" s="279">
        <f t="shared" ref="J140:N145" si="83">ROUND(J111, $H76)</f>
        <v>1.2370000000000001</v>
      </c>
      <c r="K140" s="279">
        <f t="shared" si="83"/>
        <v>1.2370000000000001</v>
      </c>
      <c r="L140" s="279">
        <f t="shared" si="83"/>
        <v>1.3240000000000001</v>
      </c>
      <c r="M140" s="279">
        <f t="shared" si="83"/>
        <v>1.3240000000000001</v>
      </c>
      <c r="N140" s="279">
        <f t="shared" si="83"/>
        <v>1.105</v>
      </c>
      <c r="O140" s="272"/>
      <c r="P140" s="272"/>
      <c r="Q140" s="279">
        <f t="shared" ref="Q140" si="84">ROUND(Q111, $H76)</f>
        <v>0.40600000000000003</v>
      </c>
      <c r="R140" s="272"/>
      <c r="S140" s="272"/>
      <c r="T140" s="279">
        <f t="shared" ref="T140:U145" si="85">ROUND(T111, $H76)</f>
        <v>1.427</v>
      </c>
      <c r="U140" s="279">
        <f t="shared" si="85"/>
        <v>-0.63100000000000001</v>
      </c>
      <c r="V140" s="272"/>
      <c r="W140" s="279">
        <f t="shared" ref="W140:W145" si="86">ROUND(W111, $H76)</f>
        <v>-0.63100000000000001</v>
      </c>
      <c r="X140" s="272"/>
      <c r="Y140" s="272"/>
      <c r="Z140" s="272"/>
      <c r="AA140" s="272"/>
      <c r="AB140" s="272"/>
      <c r="AC140" s="271"/>
      <c r="AD140" s="271"/>
    </row>
    <row r="141" spans="5:30" x14ac:dyDescent="0.25">
      <c r="E141" s="88"/>
      <c r="F141" t="s">
        <v>157</v>
      </c>
      <c r="G141" t="s">
        <v>268</v>
      </c>
      <c r="H141" s="286"/>
      <c r="I141" s="271"/>
      <c r="J141" s="279">
        <f t="shared" si="83"/>
        <v>0.71299999999999997</v>
      </c>
      <c r="K141" s="279">
        <f t="shared" si="83"/>
        <v>0.71299999999999997</v>
      </c>
      <c r="L141" s="279">
        <f t="shared" si="83"/>
        <v>0.71499999999999997</v>
      </c>
      <c r="M141" s="279">
        <f t="shared" si="83"/>
        <v>0.71499999999999997</v>
      </c>
      <c r="N141" s="279">
        <f t="shared" si="83"/>
        <v>0.70899999999999996</v>
      </c>
      <c r="O141" s="272"/>
      <c r="P141" s="272"/>
      <c r="Q141" s="279">
        <f t="shared" ref="Q141" si="87">ROUND(Q112, $H77)</f>
        <v>0.01</v>
      </c>
      <c r="R141" s="272"/>
      <c r="S141" s="272"/>
      <c r="T141" s="279">
        <f t="shared" si="85"/>
        <v>0.97299999999999998</v>
      </c>
      <c r="U141" s="279">
        <f t="shared" si="85"/>
        <v>-1.6E-2</v>
      </c>
      <c r="V141" s="272"/>
      <c r="W141" s="279">
        <f t="shared" si="86"/>
        <v>-1.6E-2</v>
      </c>
      <c r="X141" s="272"/>
      <c r="Y141" s="272"/>
      <c r="Z141" s="272"/>
      <c r="AA141" s="272"/>
      <c r="AB141" s="272"/>
      <c r="AC141" s="271"/>
      <c r="AD141" s="271"/>
    </row>
    <row r="142" spans="5:30" x14ac:dyDescent="0.25">
      <c r="E142" s="88"/>
      <c r="F142" t="s">
        <v>158</v>
      </c>
      <c r="G142" t="s">
        <v>269</v>
      </c>
      <c r="H142" s="51"/>
      <c r="J142" s="121">
        <f t="shared" si="83"/>
        <v>2.98</v>
      </c>
      <c r="K142" s="121">
        <f t="shared" si="83"/>
        <v>0</v>
      </c>
      <c r="L142" s="121">
        <f t="shared" si="83"/>
        <v>3.75</v>
      </c>
      <c r="M142" s="121">
        <f t="shared" si="83"/>
        <v>0</v>
      </c>
      <c r="N142" s="121">
        <f t="shared" si="83"/>
        <v>14.34</v>
      </c>
      <c r="O142" s="79"/>
      <c r="P142" s="79"/>
      <c r="Q142" s="121">
        <f t="shared" ref="Q142" si="88">ROUND(Q113, $H78)</f>
        <v>14.34</v>
      </c>
      <c r="R142" s="79"/>
      <c r="S142" s="79"/>
      <c r="T142" s="121">
        <f t="shared" si="85"/>
        <v>0</v>
      </c>
      <c r="U142" s="121">
        <f t="shared" si="85"/>
        <v>0</v>
      </c>
      <c r="V142" s="79"/>
      <c r="W142" s="121">
        <f t="shared" si="86"/>
        <v>0</v>
      </c>
      <c r="X142" s="79"/>
      <c r="Y142" s="79"/>
      <c r="Z142" s="79"/>
      <c r="AA142" s="79"/>
      <c r="AB142" s="79"/>
    </row>
    <row r="143" spans="5:30" x14ac:dyDescent="0.25">
      <c r="E143" s="88"/>
      <c r="F143" t="s">
        <v>159</v>
      </c>
      <c r="G143" t="s">
        <v>270</v>
      </c>
      <c r="H143" s="51"/>
      <c r="J143" s="121">
        <f t="shared" si="83"/>
        <v>0</v>
      </c>
      <c r="K143" s="121">
        <f t="shared" si="83"/>
        <v>0</v>
      </c>
      <c r="L143" s="121">
        <f t="shared" si="83"/>
        <v>0</v>
      </c>
      <c r="M143" s="121">
        <f t="shared" si="83"/>
        <v>0</v>
      </c>
      <c r="N143" s="121">
        <f t="shared" si="83"/>
        <v>1.52</v>
      </c>
      <c r="O143" s="79"/>
      <c r="P143" s="79"/>
      <c r="Q143" s="121">
        <f t="shared" ref="Q143" si="89">ROUND(Q114, $H79)</f>
        <v>1.52</v>
      </c>
      <c r="R143" s="79"/>
      <c r="S143" s="79"/>
      <c r="T143" s="121">
        <f t="shared" si="85"/>
        <v>0</v>
      </c>
      <c r="U143" s="121">
        <f t="shared" si="85"/>
        <v>0</v>
      </c>
      <c r="V143" s="79"/>
      <c r="W143" s="121">
        <f t="shared" si="86"/>
        <v>0</v>
      </c>
      <c r="X143" s="79"/>
      <c r="Y143" s="79"/>
      <c r="Z143" s="79"/>
      <c r="AA143" s="79"/>
      <c r="AB143" s="79"/>
    </row>
    <row r="144" spans="5:30" x14ac:dyDescent="0.25">
      <c r="E144" s="88"/>
      <c r="F144" t="s">
        <v>160</v>
      </c>
      <c r="G144" t="s">
        <v>270</v>
      </c>
      <c r="H144" s="51"/>
      <c r="J144" s="121">
        <f t="shared" si="83"/>
        <v>0</v>
      </c>
      <c r="K144" s="121">
        <f t="shared" si="83"/>
        <v>0</v>
      </c>
      <c r="L144" s="121">
        <f t="shared" si="83"/>
        <v>0</v>
      </c>
      <c r="M144" s="121">
        <f t="shared" si="83"/>
        <v>0</v>
      </c>
      <c r="N144" s="121">
        <f t="shared" si="83"/>
        <v>2.25</v>
      </c>
      <c r="O144" s="79"/>
      <c r="P144" s="79"/>
      <c r="Q144" s="121">
        <f t="shared" ref="Q144" si="90">ROUND(Q115, $H80)</f>
        <v>2.25</v>
      </c>
      <c r="R144" s="79"/>
      <c r="S144" s="79"/>
      <c r="T144" s="121">
        <f t="shared" si="85"/>
        <v>0</v>
      </c>
      <c r="U144" s="121">
        <f t="shared" si="85"/>
        <v>0</v>
      </c>
      <c r="V144" s="79"/>
      <c r="W144" s="121">
        <f t="shared" si="86"/>
        <v>0</v>
      </c>
      <c r="X144" s="79"/>
      <c r="Y144" s="79"/>
      <c r="Z144" s="79"/>
      <c r="AA144" s="79"/>
      <c r="AB144" s="79"/>
    </row>
    <row r="145" spans="2:30" x14ac:dyDescent="0.25">
      <c r="E145" s="88"/>
      <c r="F145" s="37" t="s">
        <v>161</v>
      </c>
      <c r="G145" s="37" t="s">
        <v>271</v>
      </c>
      <c r="H145" s="290"/>
      <c r="I145" s="275"/>
      <c r="J145" s="280">
        <f t="shared" si="83"/>
        <v>0</v>
      </c>
      <c r="K145" s="280">
        <f t="shared" si="83"/>
        <v>0</v>
      </c>
      <c r="L145" s="280">
        <f t="shared" si="83"/>
        <v>0</v>
      </c>
      <c r="M145" s="280">
        <f t="shared" si="83"/>
        <v>0</v>
      </c>
      <c r="N145" s="280">
        <f t="shared" si="83"/>
        <v>0.14299999999999999</v>
      </c>
      <c r="O145" s="276"/>
      <c r="P145" s="276"/>
      <c r="Q145" s="280">
        <f t="shared" ref="Q145" si="91">ROUND(Q116, $H81)</f>
        <v>0.14299999999999999</v>
      </c>
      <c r="R145" s="276"/>
      <c r="S145" s="276"/>
      <c r="T145" s="280">
        <f t="shared" si="85"/>
        <v>0</v>
      </c>
      <c r="U145" s="280">
        <f t="shared" si="85"/>
        <v>0</v>
      </c>
      <c r="V145" s="276"/>
      <c r="W145" s="280">
        <f t="shared" si="86"/>
        <v>0.20300000000000001</v>
      </c>
      <c r="X145" s="276"/>
      <c r="Y145" s="276"/>
      <c r="Z145" s="276"/>
      <c r="AA145" s="276"/>
      <c r="AB145" s="276"/>
      <c r="AC145" s="271"/>
      <c r="AD145" s="271"/>
    </row>
    <row r="146" spans="2:30" x14ac:dyDescent="0.25">
      <c r="E146" s="88"/>
      <c r="J146" s="89"/>
      <c r="K146" s="89"/>
      <c r="L146" s="89"/>
      <c r="M146" s="89"/>
      <c r="N146" s="89"/>
      <c r="O146" s="89"/>
      <c r="P146" s="89"/>
      <c r="Q146" s="89"/>
      <c r="R146" s="89"/>
      <c r="S146" s="89"/>
      <c r="T146" s="89"/>
      <c r="U146" s="89"/>
      <c r="V146" s="89"/>
      <c r="W146" s="89"/>
      <c r="X146" s="89"/>
      <c r="Y146" s="89"/>
      <c r="Z146" s="89"/>
      <c r="AA146" s="89"/>
      <c r="AB146" s="89"/>
    </row>
    <row r="147" spans="2:30" x14ac:dyDescent="0.25">
      <c r="E147" s="32" t="s">
        <v>820</v>
      </c>
      <c r="I147" t="s">
        <v>153</v>
      </c>
      <c r="J147" s="89"/>
      <c r="K147" s="89"/>
      <c r="L147" s="89"/>
      <c r="M147" s="89"/>
      <c r="N147" s="89"/>
      <c r="O147" s="89"/>
      <c r="P147" s="89"/>
      <c r="Q147" s="89"/>
      <c r="R147" s="89"/>
      <c r="S147" s="89"/>
      <c r="T147" s="89"/>
      <c r="U147" s="89"/>
      <c r="V147" s="89"/>
      <c r="W147" s="89"/>
      <c r="X147" s="89"/>
      <c r="Y147" s="89"/>
      <c r="Z147" s="89"/>
      <c r="AA147" s="89"/>
      <c r="AB147" s="89"/>
      <c r="AD147" t="s">
        <v>154</v>
      </c>
    </row>
    <row r="148" spans="2:30" x14ac:dyDescent="0.25">
      <c r="C148" s="88"/>
      <c r="F148" s="23" t="s">
        <v>155</v>
      </c>
      <c r="G148" s="23" t="s">
        <v>268</v>
      </c>
      <c r="H148" s="285"/>
      <c r="I148" s="269"/>
      <c r="J148" s="278">
        <f t="shared" ref="J148:W148" si="92">ROUND( J119, $H75)</f>
        <v>4.0250000000000004</v>
      </c>
      <c r="K148" s="278">
        <f t="shared" si="92"/>
        <v>4.0250000000000004</v>
      </c>
      <c r="L148" s="278">
        <f t="shared" si="92"/>
        <v>4.6020000000000003</v>
      </c>
      <c r="M148" s="278">
        <f t="shared" si="92"/>
        <v>4.6020000000000003</v>
      </c>
      <c r="N148" s="278">
        <f t="shared" si="92"/>
        <v>3.2429999999999999</v>
      </c>
      <c r="O148" s="278">
        <f t="shared" si="92"/>
        <v>3.4609999999999999</v>
      </c>
      <c r="P148" s="278">
        <f t="shared" si="92"/>
        <v>3.218</v>
      </c>
      <c r="Q148" s="278">
        <f t="shared" ref="Q148:S148" si="93">ROUND( Q119, $H75)</f>
        <v>2.7879999999999998</v>
      </c>
      <c r="R148" s="278">
        <f t="shared" si="93"/>
        <v>2.7130000000000001</v>
      </c>
      <c r="S148" s="278">
        <f t="shared" si="93"/>
        <v>2.36</v>
      </c>
      <c r="T148" s="278">
        <f t="shared" si="92"/>
        <v>9.0090000000000003</v>
      </c>
      <c r="U148" s="278">
        <f t="shared" si="92"/>
        <v>-6.4409999999999998</v>
      </c>
      <c r="V148" s="278">
        <f t="shared" si="92"/>
        <v>-5.6890000000000001</v>
      </c>
      <c r="W148" s="278">
        <f t="shared" si="92"/>
        <v>-6.4409999999999998</v>
      </c>
      <c r="X148" s="287"/>
      <c r="Y148" s="278">
        <f>ROUND( Y119, $H75)</f>
        <v>-5.6890000000000001</v>
      </c>
      <c r="Z148" s="287"/>
      <c r="AA148" s="278">
        <f>ROUND( AA119, $H75)</f>
        <v>-3.7330000000000001</v>
      </c>
      <c r="AB148" s="287"/>
      <c r="AC148" s="271"/>
      <c r="AD148" s="271"/>
    </row>
    <row r="149" spans="2:30" x14ac:dyDescent="0.25">
      <c r="C149" s="88"/>
      <c r="F149" t="s">
        <v>156</v>
      </c>
      <c r="G149" t="s">
        <v>268</v>
      </c>
      <c r="H149" s="286"/>
      <c r="I149" s="271"/>
      <c r="J149" s="279">
        <f t="shared" ref="J149:W154" si="94">ROUND( J120, $H76)</f>
        <v>0.80500000000000005</v>
      </c>
      <c r="K149" s="279">
        <f t="shared" si="94"/>
        <v>0.80500000000000005</v>
      </c>
      <c r="L149" s="279">
        <f t="shared" si="94"/>
        <v>0.86099999999999999</v>
      </c>
      <c r="M149" s="279">
        <f t="shared" si="94"/>
        <v>0.86099999999999999</v>
      </c>
      <c r="N149" s="279">
        <f t="shared" si="94"/>
        <v>0.71899999999999997</v>
      </c>
      <c r="O149" s="279">
        <f t="shared" si="94"/>
        <v>0.97799999999999998</v>
      </c>
      <c r="P149" s="279">
        <f t="shared" si="94"/>
        <v>1.0469999999999999</v>
      </c>
      <c r="Q149" s="279">
        <f t="shared" ref="Q149:S149" si="95">ROUND( Q120, $H76)</f>
        <v>0.26400000000000001</v>
      </c>
      <c r="R149" s="279">
        <f t="shared" si="95"/>
        <v>0.23100000000000001</v>
      </c>
      <c r="S149" s="279">
        <f t="shared" si="95"/>
        <v>0.189</v>
      </c>
      <c r="T149" s="279">
        <f t="shared" si="94"/>
        <v>0.92800000000000005</v>
      </c>
      <c r="U149" s="279">
        <f t="shared" si="94"/>
        <v>-0.63100000000000001</v>
      </c>
      <c r="V149" s="279">
        <f t="shared" si="94"/>
        <v>-0.54800000000000004</v>
      </c>
      <c r="W149" s="279">
        <f t="shared" si="94"/>
        <v>-0.63100000000000001</v>
      </c>
      <c r="X149" s="272"/>
      <c r="Y149" s="279">
        <f t="shared" ref="Y149:Y154" si="96">ROUND( Y120, $H76)</f>
        <v>-0.54800000000000004</v>
      </c>
      <c r="Z149" s="272"/>
      <c r="AA149" s="279">
        <f t="shared" ref="AA149:AA154" si="97">ROUND( AA120, $H76)</f>
        <v>-0.316</v>
      </c>
      <c r="AB149" s="272"/>
      <c r="AC149" s="271"/>
      <c r="AD149" s="271"/>
    </row>
    <row r="150" spans="2:30" x14ac:dyDescent="0.25">
      <c r="C150" s="88"/>
      <c r="F150" t="s">
        <v>157</v>
      </c>
      <c r="G150" t="s">
        <v>268</v>
      </c>
      <c r="H150" s="286"/>
      <c r="I150" s="271"/>
      <c r="J150" s="279">
        <f t="shared" si="94"/>
        <v>0.46400000000000002</v>
      </c>
      <c r="K150" s="279">
        <f t="shared" si="94"/>
        <v>0.46400000000000002</v>
      </c>
      <c r="L150" s="279">
        <f t="shared" si="94"/>
        <v>0.46500000000000002</v>
      </c>
      <c r="M150" s="279">
        <f t="shared" si="94"/>
        <v>0.46500000000000002</v>
      </c>
      <c r="N150" s="279">
        <f t="shared" si="94"/>
        <v>0.46100000000000002</v>
      </c>
      <c r="O150" s="279">
        <f t="shared" si="94"/>
        <v>0.752</v>
      </c>
      <c r="P150" s="279">
        <f t="shared" si="94"/>
        <v>0.86099999999999999</v>
      </c>
      <c r="Q150" s="279">
        <f t="shared" ref="Q150:S150" si="98">ROUND( Q121, $H77)</f>
        <v>6.0000000000000001E-3</v>
      </c>
      <c r="R150" s="279">
        <f t="shared" si="98"/>
        <v>4.0000000000000001E-3</v>
      </c>
      <c r="S150" s="279">
        <f t="shared" si="98"/>
        <v>3.0000000000000001E-3</v>
      </c>
      <c r="T150" s="279">
        <f t="shared" si="94"/>
        <v>0.63300000000000001</v>
      </c>
      <c r="U150" s="279">
        <f t="shared" si="94"/>
        <v>-1.6E-2</v>
      </c>
      <c r="V150" s="279">
        <f t="shared" si="94"/>
        <v>-1.4E-2</v>
      </c>
      <c r="W150" s="279">
        <f t="shared" si="94"/>
        <v>-1.6E-2</v>
      </c>
      <c r="X150" s="272"/>
      <c r="Y150" s="279">
        <f t="shared" si="96"/>
        <v>-1.4E-2</v>
      </c>
      <c r="Z150" s="272"/>
      <c r="AA150" s="279">
        <f t="shared" si="97"/>
        <v>-6.0000000000000001E-3</v>
      </c>
      <c r="AB150" s="272"/>
      <c r="AC150" s="271"/>
      <c r="AD150" s="271"/>
    </row>
    <row r="151" spans="2:30" x14ac:dyDescent="0.25">
      <c r="C151" s="88"/>
      <c r="F151" t="s">
        <v>158</v>
      </c>
      <c r="G151" t="s">
        <v>269</v>
      </c>
      <c r="H151" s="51"/>
      <c r="J151" s="121">
        <f t="shared" si="94"/>
        <v>2</v>
      </c>
      <c r="K151" s="121">
        <f t="shared" si="94"/>
        <v>0</v>
      </c>
      <c r="L151" s="121">
        <f t="shared" si="94"/>
        <v>2.5</v>
      </c>
      <c r="M151" s="121">
        <f t="shared" si="94"/>
        <v>0</v>
      </c>
      <c r="N151" s="121">
        <f t="shared" si="94"/>
        <v>9.4</v>
      </c>
      <c r="O151" s="121">
        <f t="shared" si="94"/>
        <v>5.53</v>
      </c>
      <c r="P151" s="121">
        <f t="shared" si="94"/>
        <v>93.09</v>
      </c>
      <c r="Q151" s="121">
        <f t="shared" ref="Q151:S151" si="99">ROUND( Q122, $H78)</f>
        <v>9.4</v>
      </c>
      <c r="R151" s="121">
        <f t="shared" si="99"/>
        <v>5.53</v>
      </c>
      <c r="S151" s="121">
        <f t="shared" si="99"/>
        <v>93.09</v>
      </c>
      <c r="T151" s="121">
        <f t="shared" si="94"/>
        <v>0</v>
      </c>
      <c r="U151" s="121">
        <f t="shared" si="94"/>
        <v>0</v>
      </c>
      <c r="V151" s="121">
        <f t="shared" si="94"/>
        <v>0</v>
      </c>
      <c r="W151" s="121">
        <f t="shared" si="94"/>
        <v>0</v>
      </c>
      <c r="X151" s="79"/>
      <c r="Y151" s="121">
        <f t="shared" si="96"/>
        <v>0</v>
      </c>
      <c r="Z151" s="79"/>
      <c r="AA151" s="121">
        <f t="shared" si="97"/>
        <v>0</v>
      </c>
      <c r="AB151" s="79"/>
    </row>
    <row r="152" spans="2:30" x14ac:dyDescent="0.25">
      <c r="C152" s="88"/>
      <c r="F152" t="s">
        <v>159</v>
      </c>
      <c r="G152" t="s">
        <v>270</v>
      </c>
      <c r="H152" s="51"/>
      <c r="J152" s="121">
        <f t="shared" si="94"/>
        <v>0</v>
      </c>
      <c r="K152" s="121">
        <f t="shared" si="94"/>
        <v>0</v>
      </c>
      <c r="L152" s="121">
        <f t="shared" si="94"/>
        <v>0</v>
      </c>
      <c r="M152" s="121">
        <f t="shared" si="94"/>
        <v>0</v>
      </c>
      <c r="N152" s="121">
        <f t="shared" si="94"/>
        <v>0.99</v>
      </c>
      <c r="O152" s="121">
        <f t="shared" si="94"/>
        <v>2.94</v>
      </c>
      <c r="P152" s="121">
        <f t="shared" si="94"/>
        <v>3.71</v>
      </c>
      <c r="Q152" s="121">
        <f t="shared" ref="Q152:S152" si="100">ROUND( Q123, $H79)</f>
        <v>0.99</v>
      </c>
      <c r="R152" s="121">
        <f t="shared" si="100"/>
        <v>2.94</v>
      </c>
      <c r="S152" s="121">
        <f t="shared" si="100"/>
        <v>3.71</v>
      </c>
      <c r="T152" s="121">
        <f t="shared" si="94"/>
        <v>0</v>
      </c>
      <c r="U152" s="121">
        <f t="shared" si="94"/>
        <v>0</v>
      </c>
      <c r="V152" s="121">
        <f t="shared" si="94"/>
        <v>0</v>
      </c>
      <c r="W152" s="121">
        <f t="shared" si="94"/>
        <v>0</v>
      </c>
      <c r="X152" s="79"/>
      <c r="Y152" s="121">
        <f t="shared" si="96"/>
        <v>0</v>
      </c>
      <c r="Z152" s="79"/>
      <c r="AA152" s="121">
        <f t="shared" si="97"/>
        <v>0</v>
      </c>
      <c r="AB152" s="79"/>
    </row>
    <row r="153" spans="2:30" x14ac:dyDescent="0.25">
      <c r="C153" s="88"/>
      <c r="F153" t="s">
        <v>160</v>
      </c>
      <c r="G153" t="s">
        <v>270</v>
      </c>
      <c r="H153" s="51"/>
      <c r="J153" s="121">
        <f t="shared" si="94"/>
        <v>0</v>
      </c>
      <c r="K153" s="121">
        <f t="shared" si="94"/>
        <v>0</v>
      </c>
      <c r="L153" s="121">
        <f t="shared" si="94"/>
        <v>0</v>
      </c>
      <c r="M153" s="121">
        <f t="shared" si="94"/>
        <v>0</v>
      </c>
      <c r="N153" s="121">
        <f t="shared" si="94"/>
        <v>1.46</v>
      </c>
      <c r="O153" s="121">
        <f t="shared" si="94"/>
        <v>3.35</v>
      </c>
      <c r="P153" s="121">
        <f t="shared" si="94"/>
        <v>4.58</v>
      </c>
      <c r="Q153" s="121">
        <f t="shared" ref="Q153:S153" si="101">ROUND( Q124, $H80)</f>
        <v>1.46</v>
      </c>
      <c r="R153" s="121">
        <f t="shared" si="101"/>
        <v>3.35</v>
      </c>
      <c r="S153" s="121">
        <f t="shared" si="101"/>
        <v>4.58</v>
      </c>
      <c r="T153" s="121">
        <f t="shared" si="94"/>
        <v>0</v>
      </c>
      <c r="U153" s="121">
        <f t="shared" si="94"/>
        <v>0</v>
      </c>
      <c r="V153" s="121">
        <f t="shared" si="94"/>
        <v>0</v>
      </c>
      <c r="W153" s="121">
        <f t="shared" si="94"/>
        <v>0</v>
      </c>
      <c r="X153" s="79"/>
      <c r="Y153" s="121">
        <f t="shared" si="96"/>
        <v>0</v>
      </c>
      <c r="Z153" s="79"/>
      <c r="AA153" s="121">
        <f t="shared" si="97"/>
        <v>0</v>
      </c>
      <c r="AB153" s="79"/>
    </row>
    <row r="154" spans="2:30" x14ac:dyDescent="0.25">
      <c r="C154" s="88"/>
      <c r="F154" s="37" t="s">
        <v>161</v>
      </c>
      <c r="G154" s="37" t="s">
        <v>271</v>
      </c>
      <c r="H154" s="290"/>
      <c r="I154" s="275"/>
      <c r="J154" s="280">
        <f t="shared" si="94"/>
        <v>0</v>
      </c>
      <c r="K154" s="280">
        <f t="shared" si="94"/>
        <v>0</v>
      </c>
      <c r="L154" s="280">
        <f t="shared" si="94"/>
        <v>0</v>
      </c>
      <c r="M154" s="280">
        <f t="shared" si="94"/>
        <v>0</v>
      </c>
      <c r="N154" s="280">
        <f t="shared" si="94"/>
        <v>9.2999999999999999E-2</v>
      </c>
      <c r="O154" s="280">
        <f t="shared" si="94"/>
        <v>8.8999999999999996E-2</v>
      </c>
      <c r="P154" s="280">
        <f t="shared" si="94"/>
        <v>7.5999999999999998E-2</v>
      </c>
      <c r="Q154" s="280">
        <f t="shared" ref="Q154:S154" si="102">ROUND( Q125, $H81)</f>
        <v>9.2999999999999999E-2</v>
      </c>
      <c r="R154" s="280">
        <f t="shared" si="102"/>
        <v>8.8999999999999996E-2</v>
      </c>
      <c r="S154" s="280">
        <f t="shared" si="102"/>
        <v>7.5999999999999998E-2</v>
      </c>
      <c r="T154" s="280">
        <f t="shared" si="94"/>
        <v>0</v>
      </c>
      <c r="U154" s="280">
        <f t="shared" si="94"/>
        <v>0</v>
      </c>
      <c r="V154" s="280">
        <f t="shared" si="94"/>
        <v>0</v>
      </c>
      <c r="W154" s="280">
        <f t="shared" si="94"/>
        <v>0.20300000000000001</v>
      </c>
      <c r="X154" s="276"/>
      <c r="Y154" s="280">
        <f t="shared" si="96"/>
        <v>0.182</v>
      </c>
      <c r="Z154" s="276"/>
      <c r="AA154" s="280">
        <f t="shared" si="97"/>
        <v>0.156</v>
      </c>
      <c r="AB154" s="276"/>
      <c r="AC154" s="271"/>
      <c r="AD154" s="271"/>
    </row>
    <row r="155" spans="2:30" x14ac:dyDescent="0.25">
      <c r="C155" s="88"/>
    </row>
    <row r="156" spans="2:30" x14ac:dyDescent="0.25">
      <c r="B156" s="30" t="s">
        <v>230</v>
      </c>
      <c r="C156" s="30"/>
      <c r="D156" s="30"/>
      <c r="E156" s="30"/>
      <c r="F156" s="30"/>
      <c r="G156" s="30"/>
      <c r="H156" s="30"/>
      <c r="I156" s="30"/>
      <c r="J156" s="30"/>
      <c r="K156" s="30"/>
      <c r="L156" s="30"/>
      <c r="M156" s="30"/>
      <c r="N156" s="30"/>
      <c r="O156" s="30"/>
      <c r="P156" s="30"/>
      <c r="Q156" s="30"/>
      <c r="R156" s="30"/>
      <c r="S156" s="30"/>
      <c r="T156" s="30"/>
      <c r="U156" s="30"/>
      <c r="V156" s="30"/>
      <c r="W156" s="30"/>
      <c r="X156" s="30"/>
      <c r="Y156" s="30"/>
      <c r="Z156" s="30"/>
      <c r="AA156" s="30"/>
      <c r="AB156" s="30"/>
      <c r="AC156" s="30"/>
      <c r="AD156" s="30"/>
    </row>
    <row r="158" spans="2:30" x14ac:dyDescent="0.25">
      <c r="E158" t="s">
        <v>231</v>
      </c>
      <c r="G158" s="6" t="s">
        <v>54</v>
      </c>
      <c r="H158" s="26">
        <f t="array" ref="H158">SUM(IF(ISERROR(H20:AB154), 1))</f>
        <v>0</v>
      </c>
    </row>
    <row r="160" spans="2:30" x14ac:dyDescent="0.25">
      <c r="B160" s="30" t="s">
        <v>105</v>
      </c>
      <c r="C160" s="30"/>
      <c r="D160" s="30"/>
      <c r="E160" s="30"/>
      <c r="F160" s="30"/>
      <c r="G160" s="30"/>
      <c r="H160" s="30"/>
      <c r="I160" s="30"/>
      <c r="J160" s="30"/>
      <c r="K160" s="30"/>
      <c r="L160" s="30"/>
      <c r="M160" s="30"/>
      <c r="N160" s="30"/>
      <c r="O160" s="30"/>
      <c r="P160" s="30"/>
      <c r="Q160" s="30"/>
      <c r="R160" s="30"/>
      <c r="S160" s="30"/>
      <c r="T160" s="30"/>
      <c r="U160" s="30"/>
      <c r="V160" s="30"/>
      <c r="W160" s="30"/>
      <c r="X160" s="30"/>
      <c r="Y160" s="30"/>
      <c r="Z160" s="30"/>
      <c r="AA160" s="30"/>
      <c r="AB160" s="30"/>
      <c r="AC160" s="30"/>
      <c r="AD160" s="30"/>
    </row>
  </sheetData>
  <sheetProtection sheet="1" objects="1" formatCells="0" formatColumns="0" formatRows="0" sort="0" autoFilter="0"/>
  <conditionalFormatting sqref="H158">
    <cfRule type="cellIs" dxfId="23" priority="10" operator="greaterThan">
      <formula>0</formula>
    </cfRule>
  </conditionalFormatting>
  <conditionalFormatting sqref="A4:I4 AC4:XFD4">
    <cfRule type="expression" dxfId="22" priority="9">
      <formula>LEFT($A$4,1) &lt;&gt; "0"</formula>
    </cfRule>
  </conditionalFormatting>
  <conditionalFormatting sqref="N4:S4">
    <cfRule type="expression" dxfId="21" priority="8">
      <formula>LEFT($A$4,1) &lt;&gt; "0"</formula>
    </cfRule>
  </conditionalFormatting>
  <conditionalFormatting sqref="L4:M4">
    <cfRule type="expression" dxfId="20" priority="7">
      <formula>LEFT($A$4,1) &lt;&gt; "0"</formula>
    </cfRule>
  </conditionalFormatting>
  <conditionalFormatting sqref="J4:K4">
    <cfRule type="expression" dxfId="19" priority="6">
      <formula>LEFT($A$4,1) &lt;&gt; "0"</formula>
    </cfRule>
  </conditionalFormatting>
  <conditionalFormatting sqref="T4">
    <cfRule type="expression" dxfId="18" priority="5">
      <formula>LEFT($A$4,1) &lt;&gt; "0"</formula>
    </cfRule>
  </conditionalFormatting>
  <conditionalFormatting sqref="U4:V4">
    <cfRule type="expression" dxfId="17" priority="4">
      <formula>LEFT($A$4,1) &lt;&gt; "0"</formula>
    </cfRule>
  </conditionalFormatting>
  <conditionalFormatting sqref="W4:X4">
    <cfRule type="expression" dxfId="16" priority="3">
      <formula>LEFT($A$4,1) &lt;&gt; "0"</formula>
    </cfRule>
  </conditionalFormatting>
  <conditionalFormatting sqref="Y4:Z4">
    <cfRule type="expression" dxfId="15" priority="2">
      <formula>LEFT($A$4,1) &lt;&gt; "0"</formula>
    </cfRule>
  </conditionalFormatting>
  <conditionalFormatting sqref="AA4:AB4">
    <cfRule type="expression" dxfId="14" priority="1">
      <formula>LEFT($A$4,1) &lt;&gt; "0"</formula>
    </cfRule>
  </conditionalFormatting>
  <hyperlinks>
    <hyperlink ref="B5:F5" location="'Model map'!A1" display="Click here to return to model map" xr:uid="{00000000-0004-0000-1900-000000000000}"/>
    <hyperlink ref="AD74" location="'Aggreg'!B314" display="x1 = 3308. Unit rate 1 p/kWh (total) (in Summary of charges before revenue matching)" xr:uid="{00000000-0004-0000-1900-000001000000}"/>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41">
    <tabColor theme="4" tint="0.59999389629810485"/>
  </sheetPr>
  <dimension ref="A1:BL201"/>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8" width="17" customWidth="1"/>
    <col min="29" max="29" width="2.42578125" customWidth="1"/>
    <col min="30" max="30" width="50.5703125" customWidth="1"/>
    <col min="31" max="31" width="2.42578125" customWidth="1"/>
    <col min="32" max="64" width="0" hidden="1" customWidth="1"/>
    <col min="65" max="16384" width="9.28515625" hidden="1"/>
  </cols>
  <sheetData>
    <row r="1" spans="1:30" s="1" customFormat="1" x14ac:dyDescent="0.25">
      <c r="A1" s="1" t="str">
        <f ca="1">MID(CELL("filename",A1),FIND("]",CELL("filename",A1))+1,255)</f>
        <v>Net revenue summary</v>
      </c>
    </row>
    <row r="2" spans="1:30" s="1" customFormat="1" x14ac:dyDescent="0.25">
      <c r="A2" s="1" t="str">
        <f>Cover!D21&amp;" - "&amp;Cover!D23</f>
        <v>SP Distribution - Two</v>
      </c>
    </row>
    <row r="3" spans="1:30" s="5" customFormat="1" x14ac:dyDescent="0.25">
      <c r="A3" s="5" t="str">
        <f>Cover!D2&amp;" - "&amp;Cover!D8&amp;" v"&amp;Cover!D10&amp;" - "&amp;Cover!D19</f>
        <v>CDCM charging model - Release for charge setting v6 - 2021/22</v>
      </c>
    </row>
    <row r="4" spans="1:30" x14ac:dyDescent="0.25">
      <c r="A4" s="12" t="str">
        <f>H199 &amp; IF(H199 = 1, " issue", " issues") &amp;" identified in checks on this sheet"</f>
        <v>0 issues identified in checks on this sheet</v>
      </c>
      <c r="B4" s="13"/>
      <c r="C4" s="13"/>
      <c r="D4" s="13"/>
      <c r="E4" s="13"/>
      <c r="F4" s="13"/>
      <c r="G4" s="13"/>
      <c r="H4" s="14"/>
      <c r="I4" s="14"/>
    </row>
    <row r="5" spans="1:30" ht="60" x14ac:dyDescent="0.25">
      <c r="B5" s="59" t="s">
        <v>141</v>
      </c>
      <c r="C5" s="60"/>
      <c r="D5" s="60"/>
      <c r="E5" s="60"/>
      <c r="F5" s="60"/>
      <c r="G5" s="61" t="s">
        <v>142</v>
      </c>
      <c r="H5" s="62" t="s">
        <v>143</v>
      </c>
      <c r="J5" s="62" t="s">
        <v>893</v>
      </c>
      <c r="K5" s="62" t="s">
        <v>895</v>
      </c>
      <c r="L5" s="62" t="s">
        <v>894</v>
      </c>
      <c r="M5" s="62" t="s">
        <v>896</v>
      </c>
      <c r="N5" s="62" t="s">
        <v>902</v>
      </c>
      <c r="O5" s="62" t="s">
        <v>903</v>
      </c>
      <c r="P5" s="62" t="s">
        <v>904</v>
      </c>
      <c r="Q5" s="62" t="s">
        <v>1027</v>
      </c>
      <c r="R5" s="62" t="s">
        <v>1028</v>
      </c>
      <c r="S5" s="62" t="s">
        <v>1029</v>
      </c>
      <c r="T5" s="62" t="s">
        <v>905</v>
      </c>
      <c r="U5" s="62" t="s">
        <v>897</v>
      </c>
      <c r="V5" s="62" t="s">
        <v>898</v>
      </c>
      <c r="W5" s="62" t="s">
        <v>899</v>
      </c>
      <c r="X5" s="62" t="s">
        <v>908</v>
      </c>
      <c r="Y5" s="62" t="s">
        <v>900</v>
      </c>
      <c r="Z5" s="62" t="s">
        <v>907</v>
      </c>
      <c r="AA5" s="62" t="s">
        <v>901</v>
      </c>
      <c r="AB5" s="62" t="s">
        <v>906</v>
      </c>
      <c r="AD5" s="61" t="s">
        <v>144</v>
      </c>
    </row>
    <row r="7" spans="1:30" x14ac:dyDescent="0.25">
      <c r="B7" s="30" t="s">
        <v>9</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row>
    <row r="9" spans="1:30" x14ac:dyDescent="0.25">
      <c r="C9" s="29" t="s">
        <v>821</v>
      </c>
    </row>
    <row r="10" spans="1:30" x14ac:dyDescent="0.25">
      <c r="C10" s="28"/>
    </row>
    <row r="11" spans="1:30" x14ac:dyDescent="0.25">
      <c r="B11" s="30" t="s">
        <v>822</v>
      </c>
      <c r="C11" s="30"/>
      <c r="D11" s="30"/>
      <c r="E11" s="30"/>
      <c r="F11" s="30"/>
      <c r="G11" s="30"/>
      <c r="H11" s="30"/>
      <c r="I11" s="30"/>
      <c r="J11" s="30"/>
      <c r="K11" s="30"/>
      <c r="L11" s="30"/>
      <c r="M11" s="30"/>
      <c r="N11" s="30"/>
      <c r="O11" s="30"/>
      <c r="P11" s="30"/>
      <c r="Q11" s="30"/>
      <c r="R11" s="30"/>
      <c r="S11" s="30"/>
      <c r="T11" s="30"/>
      <c r="U11" s="30"/>
      <c r="V11" s="30"/>
      <c r="W11" s="30"/>
      <c r="X11" s="30"/>
      <c r="Y11" s="30"/>
      <c r="Z11" s="30"/>
      <c r="AA11" s="30"/>
      <c r="AB11" s="30"/>
      <c r="AC11" s="30"/>
      <c r="AD11" s="30"/>
    </row>
    <row r="12" spans="1:30" x14ac:dyDescent="0.25">
      <c r="D12" s="2"/>
      <c r="E12" s="2"/>
    </row>
    <row r="13" spans="1:30" x14ac:dyDescent="0.25">
      <c r="C13" s="31" t="str">
        <f ca="1">INDEX('Version control'!$H$34:$H$57,MATCH($A$1,'Version control'!$F$34:$F$57,0),1)&amp;"-A: Volume forecasts"</f>
        <v>Section 118-A: Volume forecasts</v>
      </c>
      <c r="D13" s="31"/>
      <c r="E13" s="31"/>
      <c r="F13" s="31"/>
      <c r="G13" s="31"/>
      <c r="H13" s="31"/>
      <c r="I13" s="31"/>
      <c r="J13" s="31"/>
      <c r="K13" s="31"/>
      <c r="L13" s="31"/>
      <c r="M13" s="31"/>
      <c r="N13" s="31"/>
      <c r="O13" s="31"/>
      <c r="P13" s="31"/>
      <c r="Q13" s="31"/>
      <c r="R13" s="31"/>
      <c r="S13" s="31"/>
      <c r="T13" s="31"/>
      <c r="U13" s="31"/>
      <c r="V13" s="31"/>
      <c r="W13" s="31"/>
      <c r="X13" s="31"/>
      <c r="Y13" s="31"/>
      <c r="Z13" s="31"/>
      <c r="AA13" s="31"/>
      <c r="AB13" s="31"/>
      <c r="AC13" s="31"/>
      <c r="AD13" s="31"/>
    </row>
    <row r="14" spans="1:30" x14ac:dyDescent="0.25">
      <c r="D14" s="32"/>
    </row>
    <row r="15" spans="1:30" x14ac:dyDescent="0.25">
      <c r="E15" s="32" t="s">
        <v>244</v>
      </c>
      <c r="I15" t="s">
        <v>153</v>
      </c>
      <c r="AD15" t="s">
        <v>245</v>
      </c>
    </row>
    <row r="16" spans="1:30" x14ac:dyDescent="0.25">
      <c r="F16" s="78" t="s">
        <v>246</v>
      </c>
      <c r="G16" s="78" t="s">
        <v>206</v>
      </c>
      <c r="H16" s="23"/>
      <c r="I16" s="23"/>
      <c r="J16" s="124">
        <f>'Inputs by customer type'!J21</f>
        <v>728182.66484023235</v>
      </c>
      <c r="K16" s="124">
        <f>'Inputs by customer type'!K21</f>
        <v>1325.9025558238502</v>
      </c>
      <c r="L16" s="124">
        <f>'Inputs by customer type'!L21</f>
        <v>187782.12741331305</v>
      </c>
      <c r="M16" s="124">
        <f>'Inputs by customer type'!M21</f>
        <v>4172.2410596369182</v>
      </c>
      <c r="N16" s="124">
        <f>'Inputs by customer type'!N21</f>
        <v>275821.76887612289</v>
      </c>
      <c r="O16" s="124">
        <f>'Inputs by customer type'!O21</f>
        <v>21569.598912405832</v>
      </c>
      <c r="P16" s="124">
        <f>'Inputs by customer type'!P21</f>
        <v>322473.77411167003</v>
      </c>
      <c r="Q16" s="124">
        <f>'Inputs by customer type'!Q21</f>
        <v>0</v>
      </c>
      <c r="R16" s="124">
        <f>'Inputs by customer type'!R21</f>
        <v>0</v>
      </c>
      <c r="S16" s="124">
        <f>'Inputs by customer type'!S21</f>
        <v>0</v>
      </c>
      <c r="T16" s="124">
        <f>'Inputs by customer type'!T21</f>
        <v>13844.286088792498</v>
      </c>
      <c r="U16" s="124">
        <f>'Inputs by customer type'!U21</f>
        <v>139.21456342227521</v>
      </c>
      <c r="V16" s="124">
        <f>'Inputs by customer type'!V21</f>
        <v>2.8776284544589532</v>
      </c>
      <c r="W16" s="124">
        <f>'Inputs by customer type'!W21</f>
        <v>6131.3814104814819</v>
      </c>
      <c r="X16" s="124">
        <f>'Inputs by customer type'!X21</f>
        <v>0</v>
      </c>
      <c r="Y16" s="124">
        <f>'Inputs by customer type'!Y21</f>
        <v>144.6141525623608</v>
      </c>
      <c r="Z16" s="124">
        <f>'Inputs by customer type'!Z21</f>
        <v>0</v>
      </c>
      <c r="AA16" s="124">
        <f>'Inputs by customer type'!AA21</f>
        <v>116075.81817719914</v>
      </c>
      <c r="AB16" s="124">
        <f>'Inputs by customer type'!AB21</f>
        <v>0</v>
      </c>
    </row>
    <row r="17" spans="5:30" x14ac:dyDescent="0.25">
      <c r="E17" s="28"/>
      <c r="F17" s="72" t="s">
        <v>247</v>
      </c>
      <c r="G17" s="72" t="s">
        <v>206</v>
      </c>
      <c r="J17" s="120">
        <f>'Inputs by customer type'!J22</f>
        <v>2586978.352218715</v>
      </c>
      <c r="K17" s="120">
        <f>'Inputs by customer type'!K22</f>
        <v>24004.867020018988</v>
      </c>
      <c r="L17" s="120">
        <f>'Inputs by customer type'!L22</f>
        <v>1017175.5544889377</v>
      </c>
      <c r="M17" s="120">
        <f>'Inputs by customer type'!M22</f>
        <v>25319.415482001521</v>
      </c>
      <c r="N17" s="120">
        <f>'Inputs by customer type'!N22</f>
        <v>1322296.4326402938</v>
      </c>
      <c r="O17" s="120">
        <f>'Inputs by customer type'!O22</f>
        <v>101185.04898982702</v>
      </c>
      <c r="P17" s="120">
        <f>'Inputs by customer type'!P22</f>
        <v>1497042.8901385467</v>
      </c>
      <c r="Q17" s="120">
        <f>'Inputs by customer type'!Q22</f>
        <v>0</v>
      </c>
      <c r="R17" s="120">
        <f>'Inputs by customer type'!R22</f>
        <v>0</v>
      </c>
      <c r="S17" s="120">
        <f>'Inputs by customer type'!S22</f>
        <v>0</v>
      </c>
      <c r="T17" s="120">
        <f>'Inputs by customer type'!T22</f>
        <v>52546.80809158679</v>
      </c>
      <c r="U17" s="120">
        <f>'Inputs by customer type'!U22</f>
        <v>625.58915267962095</v>
      </c>
      <c r="V17" s="120">
        <f>'Inputs by customer type'!V22</f>
        <v>11.85801478940583</v>
      </c>
      <c r="W17" s="120">
        <f>'Inputs by customer type'!W22</f>
        <v>27525.456251959484</v>
      </c>
      <c r="X17" s="120">
        <f>'Inputs by customer type'!X22</f>
        <v>0</v>
      </c>
      <c r="Y17" s="120">
        <f>'Inputs by customer type'!Y22</f>
        <v>597.34783091345412</v>
      </c>
      <c r="Z17" s="120">
        <f>'Inputs by customer type'!Z22</f>
        <v>0</v>
      </c>
      <c r="AA17" s="120">
        <f>'Inputs by customer type'!AA22</f>
        <v>445212.43930388504</v>
      </c>
      <c r="AB17" s="120">
        <f>'Inputs by customer type'!AB22</f>
        <v>0</v>
      </c>
    </row>
    <row r="18" spans="5:30" x14ac:dyDescent="0.25">
      <c r="E18" s="28"/>
      <c r="F18" s="72" t="s">
        <v>248</v>
      </c>
      <c r="G18" s="72" t="s">
        <v>206</v>
      </c>
      <c r="J18" s="120">
        <f>'Inputs by customer type'!J23</f>
        <v>2382458.5766185289</v>
      </c>
      <c r="K18" s="120">
        <f>'Inputs by customer type'!K23</f>
        <v>245208.33115400965</v>
      </c>
      <c r="L18" s="120">
        <f>'Inputs by customer type'!L23</f>
        <v>982488.05164342187</v>
      </c>
      <c r="M18" s="120">
        <f>'Inputs by customer type'!M23</f>
        <v>52561.158034119573</v>
      </c>
      <c r="N18" s="120">
        <f>'Inputs by customer type'!N23</f>
        <v>1154944.2406044872</v>
      </c>
      <c r="O18" s="120">
        <f>'Inputs by customer type'!O23</f>
        <v>100898.01610776718</v>
      </c>
      <c r="P18" s="120">
        <f>'Inputs by customer type'!P23</f>
        <v>1602377.0319897835</v>
      </c>
      <c r="Q18" s="120">
        <f>'Inputs by customer type'!Q23</f>
        <v>0</v>
      </c>
      <c r="R18" s="120">
        <f>'Inputs by customer type'!R23</f>
        <v>0</v>
      </c>
      <c r="S18" s="120">
        <f>'Inputs by customer type'!S23</f>
        <v>0</v>
      </c>
      <c r="T18" s="120">
        <f>'Inputs by customer type'!T23</f>
        <v>189052.68521962134</v>
      </c>
      <c r="U18" s="120">
        <f>'Inputs by customer type'!U23</f>
        <v>698.17114006254928</v>
      </c>
      <c r="V18" s="120">
        <f>'Inputs by customer type'!V23</f>
        <v>16.006356756135215</v>
      </c>
      <c r="W18" s="120">
        <f>'Inputs by customer type'!W23</f>
        <v>30981.276337559029</v>
      </c>
      <c r="X18" s="120">
        <f>'Inputs by customer type'!X23</f>
        <v>0</v>
      </c>
      <c r="Y18" s="120">
        <f>'Inputs by customer type'!Y23</f>
        <v>807.27901652418518</v>
      </c>
      <c r="Z18" s="120">
        <f>'Inputs by customer type'!Z23</f>
        <v>0</v>
      </c>
      <c r="AA18" s="120">
        <f>'Inputs by customer type'!AA23</f>
        <v>507559.16751891578</v>
      </c>
      <c r="AB18" s="120">
        <f>'Inputs by customer type'!AB23</f>
        <v>0</v>
      </c>
    </row>
    <row r="19" spans="5:30" x14ac:dyDescent="0.25">
      <c r="E19" s="28"/>
      <c r="F19" s="72" t="s">
        <v>211</v>
      </c>
      <c r="G19" s="72" t="s">
        <v>211</v>
      </c>
      <c r="J19" s="120">
        <f>'Inputs by customer type'!J24</f>
        <v>1852569</v>
      </c>
      <c r="K19" s="120">
        <f>'Inputs by customer type'!K24</f>
        <v>100059</v>
      </c>
      <c r="L19" s="120">
        <f>'Inputs by customer type'!L24</f>
        <v>125030</v>
      </c>
      <c r="M19" s="120">
        <f>'Inputs by customer type'!M24</f>
        <v>7441</v>
      </c>
      <c r="N19" s="120">
        <f>'Inputs by customer type'!N24</f>
        <v>10491</v>
      </c>
      <c r="O19" s="120">
        <f>'Inputs by customer type'!O24</f>
        <v>219</v>
      </c>
      <c r="P19" s="120">
        <f>'Inputs by customer type'!P24</f>
        <v>1257</v>
      </c>
      <c r="Q19" s="120">
        <f>'Inputs by customer type'!Q24</f>
        <v>0</v>
      </c>
      <c r="R19" s="120">
        <f>'Inputs by customer type'!R24</f>
        <v>0</v>
      </c>
      <c r="S19" s="120">
        <f>'Inputs by customer type'!S24</f>
        <v>0</v>
      </c>
      <c r="T19" s="120">
        <f>'Inputs by customer type'!T24</f>
        <v>4868</v>
      </c>
      <c r="U19" s="120">
        <f>'Inputs by customer type'!U24</f>
        <v>167</v>
      </c>
      <c r="V19" s="120">
        <f>'Inputs by customer type'!V24</f>
        <v>4</v>
      </c>
      <c r="W19" s="120">
        <f>'Inputs by customer type'!W24</f>
        <v>472</v>
      </c>
      <c r="X19" s="120">
        <f>'Inputs by customer type'!X24</f>
        <v>0</v>
      </c>
      <c r="Y19" s="120">
        <f>'Inputs by customer type'!Y24</f>
        <v>8</v>
      </c>
      <c r="Z19" s="120">
        <f>'Inputs by customer type'!Z24</f>
        <v>0</v>
      </c>
      <c r="AA19" s="120">
        <f>'Inputs by customer type'!AA24</f>
        <v>255</v>
      </c>
      <c r="AB19" s="120">
        <f>'Inputs by customer type'!AB24</f>
        <v>0</v>
      </c>
    </row>
    <row r="20" spans="5:30" x14ac:dyDescent="0.25">
      <c r="E20" s="28"/>
      <c r="F20" s="72" t="s">
        <v>249</v>
      </c>
      <c r="G20" s="72" t="s">
        <v>250</v>
      </c>
      <c r="J20" s="120">
        <f>'Inputs by customer type'!J25</f>
        <v>0</v>
      </c>
      <c r="K20" s="120">
        <f>'Inputs by customer type'!K25</f>
        <v>0</v>
      </c>
      <c r="L20" s="120">
        <f>'Inputs by customer type'!L25</f>
        <v>0</v>
      </c>
      <c r="M20" s="120">
        <f>'Inputs by customer type'!M25</f>
        <v>0</v>
      </c>
      <c r="N20" s="120">
        <f>'Inputs by customer type'!N25</f>
        <v>1465414</v>
      </c>
      <c r="O20" s="120">
        <f>'Inputs by customer type'!O25</f>
        <v>92670</v>
      </c>
      <c r="P20" s="120">
        <f>'Inputs by customer type'!P25</f>
        <v>1282859</v>
      </c>
      <c r="Q20" s="120">
        <f>'Inputs by customer type'!Q25</f>
        <v>0</v>
      </c>
      <c r="R20" s="120">
        <f>'Inputs by customer type'!R25</f>
        <v>0</v>
      </c>
      <c r="S20" s="120">
        <f>'Inputs by customer type'!S25</f>
        <v>0</v>
      </c>
      <c r="T20" s="120">
        <f>'Inputs by customer type'!T25</f>
        <v>0</v>
      </c>
      <c r="U20" s="120">
        <f>'Inputs by customer type'!U25</f>
        <v>0</v>
      </c>
      <c r="V20" s="120">
        <f>'Inputs by customer type'!V25</f>
        <v>0</v>
      </c>
      <c r="W20" s="120">
        <f>'Inputs by customer type'!W25</f>
        <v>0</v>
      </c>
      <c r="X20" s="120">
        <f>'Inputs by customer type'!X25</f>
        <v>0</v>
      </c>
      <c r="Y20" s="120">
        <f>'Inputs by customer type'!Y25</f>
        <v>0</v>
      </c>
      <c r="Z20" s="120">
        <f>'Inputs by customer type'!Z25</f>
        <v>0</v>
      </c>
      <c r="AA20" s="120">
        <f>'Inputs by customer type'!AA25</f>
        <v>0</v>
      </c>
      <c r="AB20" s="120">
        <f>'Inputs by customer type'!AB25</f>
        <v>0</v>
      </c>
    </row>
    <row r="21" spans="5:30" x14ac:dyDescent="0.25">
      <c r="E21" s="28"/>
      <c r="F21" s="72" t="s">
        <v>251</v>
      </c>
      <c r="G21" s="72" t="s">
        <v>250</v>
      </c>
      <c r="J21" s="120">
        <f>'Inputs by customer type'!J26</f>
        <v>0</v>
      </c>
      <c r="K21" s="120">
        <f>'Inputs by customer type'!K26</f>
        <v>0</v>
      </c>
      <c r="L21" s="120">
        <f>'Inputs by customer type'!L26</f>
        <v>0</v>
      </c>
      <c r="M21" s="120">
        <f>'Inputs by customer type'!M26</f>
        <v>0</v>
      </c>
      <c r="N21" s="120">
        <f>'Inputs by customer type'!N26</f>
        <v>29539.140000000003</v>
      </c>
      <c r="O21" s="120">
        <f>'Inputs by customer type'!O26</f>
        <v>1042.17</v>
      </c>
      <c r="P21" s="120">
        <f>'Inputs by customer type'!P26</f>
        <v>16267.89</v>
      </c>
      <c r="Q21" s="120">
        <f>'Inputs by customer type'!Q26</f>
        <v>0</v>
      </c>
      <c r="R21" s="120">
        <f>'Inputs by customer type'!R26</f>
        <v>0</v>
      </c>
      <c r="S21" s="120">
        <f>'Inputs by customer type'!S26</f>
        <v>0</v>
      </c>
      <c r="T21" s="120">
        <f>'Inputs by customer type'!T26</f>
        <v>0</v>
      </c>
      <c r="U21" s="120">
        <f>'Inputs by customer type'!U26</f>
        <v>0</v>
      </c>
      <c r="V21" s="120">
        <f>'Inputs by customer type'!V26</f>
        <v>0</v>
      </c>
      <c r="W21" s="120">
        <f>'Inputs by customer type'!W26</f>
        <v>0</v>
      </c>
      <c r="X21" s="120">
        <f>'Inputs by customer type'!X26</f>
        <v>0</v>
      </c>
      <c r="Y21" s="120">
        <f>'Inputs by customer type'!Y26</f>
        <v>0</v>
      </c>
      <c r="Z21" s="120">
        <f>'Inputs by customer type'!Z26</f>
        <v>0</v>
      </c>
      <c r="AA21" s="120">
        <f>'Inputs by customer type'!AA26</f>
        <v>0</v>
      </c>
      <c r="AB21" s="120">
        <f>'Inputs by customer type'!AB26</f>
        <v>0</v>
      </c>
    </row>
    <row r="22" spans="5:30" x14ac:dyDescent="0.25">
      <c r="E22" s="28"/>
      <c r="F22" s="80" t="s">
        <v>252</v>
      </c>
      <c r="G22" s="80" t="s">
        <v>253</v>
      </c>
      <c r="H22" s="37"/>
      <c r="I22" s="37"/>
      <c r="J22" s="125">
        <f>'Inputs by customer type'!J27</f>
        <v>0</v>
      </c>
      <c r="K22" s="125">
        <f>'Inputs by customer type'!K27</f>
        <v>0</v>
      </c>
      <c r="L22" s="125">
        <f>'Inputs by customer type'!L27</f>
        <v>0</v>
      </c>
      <c r="M22" s="125">
        <f>'Inputs by customer type'!M27</f>
        <v>0</v>
      </c>
      <c r="N22" s="125">
        <f>'Inputs by customer type'!N27</f>
        <v>241920</v>
      </c>
      <c r="O22" s="125">
        <f>'Inputs by customer type'!O27</f>
        <v>19020</v>
      </c>
      <c r="P22" s="125">
        <f>'Inputs by customer type'!P27</f>
        <v>250200</v>
      </c>
      <c r="Q22" s="125">
        <f>'Inputs by customer type'!Q27</f>
        <v>0</v>
      </c>
      <c r="R22" s="125">
        <f>'Inputs by customer type'!R27</f>
        <v>0</v>
      </c>
      <c r="S22" s="125">
        <f>'Inputs by customer type'!S27</f>
        <v>0</v>
      </c>
      <c r="T22" s="125">
        <f>'Inputs by customer type'!T27</f>
        <v>0</v>
      </c>
      <c r="U22" s="125">
        <f>'Inputs by customer type'!U27</f>
        <v>0</v>
      </c>
      <c r="V22" s="125">
        <f>'Inputs by customer type'!V27</f>
        <v>0</v>
      </c>
      <c r="W22" s="125">
        <f>'Inputs by customer type'!W27</f>
        <v>4452</v>
      </c>
      <c r="X22" s="125">
        <f>'Inputs by customer type'!X27</f>
        <v>0</v>
      </c>
      <c r="Y22" s="125">
        <f>'Inputs by customer type'!Y27</f>
        <v>408</v>
      </c>
      <c r="Z22" s="125">
        <f>'Inputs by customer type'!Z27</f>
        <v>0</v>
      </c>
      <c r="AA22" s="125">
        <f>'Inputs by customer type'!AA27</f>
        <v>16464</v>
      </c>
      <c r="AB22" s="125">
        <f>'Inputs by customer type'!AB27</f>
        <v>0</v>
      </c>
    </row>
    <row r="23" spans="5:30" s="263" customFormat="1" x14ac:dyDescent="0.25">
      <c r="E23" s="267"/>
      <c r="F23" s="239"/>
      <c r="G23" s="239"/>
      <c r="J23" s="268"/>
      <c r="K23" s="268"/>
      <c r="L23" s="268"/>
      <c r="M23" s="268"/>
      <c r="N23" s="268"/>
      <c r="O23" s="268"/>
      <c r="P23" s="268"/>
      <c r="Q23" s="268"/>
      <c r="R23" s="268"/>
      <c r="S23" s="268"/>
      <c r="T23" s="268"/>
      <c r="U23" s="268"/>
      <c r="V23" s="268"/>
      <c r="W23" s="268"/>
      <c r="X23" s="268"/>
      <c r="Y23" s="268"/>
      <c r="Z23" s="268"/>
      <c r="AA23" s="268"/>
      <c r="AB23" s="268"/>
    </row>
    <row r="24" spans="5:30" x14ac:dyDescent="0.25">
      <c r="E24" s="32" t="s">
        <v>254</v>
      </c>
      <c r="F24" s="80"/>
      <c r="G24" s="80"/>
      <c r="H24" s="37"/>
      <c r="I24" t="s">
        <v>153</v>
      </c>
      <c r="J24" s="82"/>
      <c r="K24" s="82"/>
      <c r="L24" s="82"/>
      <c r="M24" s="82"/>
      <c r="N24" s="82"/>
      <c r="O24" s="82"/>
      <c r="P24" s="82"/>
      <c r="Q24" s="82"/>
      <c r="R24" s="82"/>
      <c r="S24" s="82"/>
      <c r="T24" s="82"/>
      <c r="U24" s="82"/>
      <c r="V24" s="82"/>
      <c r="W24" s="82"/>
      <c r="X24" s="82"/>
      <c r="Y24" s="82"/>
      <c r="Z24" s="82"/>
      <c r="AA24" s="82"/>
      <c r="AB24" s="82"/>
      <c r="AD24" t="s">
        <v>245</v>
      </c>
    </row>
    <row r="25" spans="5:30" x14ac:dyDescent="0.25">
      <c r="F25" s="72" t="s">
        <v>246</v>
      </c>
      <c r="G25" s="72" t="s">
        <v>206</v>
      </c>
      <c r="I25" s="23"/>
      <c r="J25" s="124">
        <f>'Inputs by customer type'!J30</f>
        <v>13713.32246963591</v>
      </c>
      <c r="K25" s="124">
        <f>'Inputs by customer type'!K30</f>
        <v>1.3981029513384524</v>
      </c>
      <c r="L25" s="124">
        <f>'Inputs by customer type'!L30</f>
        <v>601.04321517970027</v>
      </c>
      <c r="M25" s="124">
        <f>'Inputs by customer type'!M30</f>
        <v>0</v>
      </c>
      <c r="N25" s="124">
        <f>'Inputs by customer type'!N30</f>
        <v>1596.4649999999999</v>
      </c>
      <c r="O25" s="124">
        <f>'Inputs by customer type'!O30</f>
        <v>0</v>
      </c>
      <c r="P25" s="124">
        <f>'Inputs by customer type'!P30</f>
        <v>0</v>
      </c>
      <c r="Q25" s="124">
        <f>'Inputs by customer type'!Q30</f>
        <v>0</v>
      </c>
      <c r="R25" s="124">
        <f>'Inputs by customer type'!R30</f>
        <v>0</v>
      </c>
      <c r="S25" s="124">
        <f>'Inputs by customer type'!S30</f>
        <v>0</v>
      </c>
      <c r="T25" s="124">
        <f>'Inputs by customer type'!T30</f>
        <v>20.430032150505486</v>
      </c>
      <c r="U25" s="124">
        <f>'Inputs by customer type'!U30</f>
        <v>0.57025605316046324</v>
      </c>
      <c r="V25" s="124">
        <f>'Inputs by customer type'!V30</f>
        <v>0</v>
      </c>
      <c r="W25" s="124">
        <f>'Inputs by customer type'!W30</f>
        <v>0</v>
      </c>
      <c r="X25" s="124">
        <f>'Inputs by customer type'!X30</f>
        <v>0</v>
      </c>
      <c r="Y25" s="124">
        <f>'Inputs by customer type'!Y30</f>
        <v>0</v>
      </c>
      <c r="Z25" s="124">
        <f>'Inputs by customer type'!Z30</f>
        <v>0</v>
      </c>
      <c r="AA25" s="124">
        <f>'Inputs by customer type'!AA30</f>
        <v>0</v>
      </c>
      <c r="AB25" s="124">
        <f>'Inputs by customer type'!AB30</f>
        <v>0</v>
      </c>
    </row>
    <row r="26" spans="5:30" x14ac:dyDescent="0.25">
      <c r="E26" s="28"/>
      <c r="F26" s="72" t="s">
        <v>247</v>
      </c>
      <c r="G26" s="72" t="s">
        <v>206</v>
      </c>
      <c r="J26" s="120">
        <f>'Inputs by customer type'!J31</f>
        <v>48809.781090218552</v>
      </c>
      <c r="K26" s="120">
        <f>'Inputs by customer type'!K31</f>
        <v>25.329659479528413</v>
      </c>
      <c r="L26" s="120">
        <f>'Inputs by customer type'!L31</f>
        <v>3253.025245448257</v>
      </c>
      <c r="M26" s="120">
        <f>'Inputs by customer type'!M31</f>
        <v>0</v>
      </c>
      <c r="N26" s="120">
        <f>'Inputs by customer type'!N31</f>
        <v>7155.5069999999996</v>
      </c>
      <c r="O26" s="120">
        <f>'Inputs by customer type'!O31</f>
        <v>0</v>
      </c>
      <c r="P26" s="120">
        <f>'Inputs by customer type'!P31</f>
        <v>0</v>
      </c>
      <c r="Q26" s="120">
        <f>'Inputs by customer type'!Q31</f>
        <v>0</v>
      </c>
      <c r="R26" s="120">
        <f>'Inputs by customer type'!R31</f>
        <v>0</v>
      </c>
      <c r="S26" s="120">
        <f>'Inputs by customer type'!S31</f>
        <v>0</v>
      </c>
      <c r="T26" s="120">
        <f>'Inputs by customer type'!T31</f>
        <v>273.96068150852608</v>
      </c>
      <c r="U26" s="120">
        <f>'Inputs by customer type'!U31</f>
        <v>2.0830307980493821</v>
      </c>
      <c r="V26" s="120">
        <f>'Inputs by customer type'!V31</f>
        <v>0</v>
      </c>
      <c r="W26" s="120">
        <f>'Inputs by customer type'!W31</f>
        <v>0</v>
      </c>
      <c r="X26" s="120">
        <f>'Inputs by customer type'!X31</f>
        <v>0</v>
      </c>
      <c r="Y26" s="120">
        <f>'Inputs by customer type'!Y31</f>
        <v>0</v>
      </c>
      <c r="Z26" s="120">
        <f>'Inputs by customer type'!Z31</f>
        <v>0</v>
      </c>
      <c r="AA26" s="120">
        <f>'Inputs by customer type'!AA31</f>
        <v>0</v>
      </c>
      <c r="AB26" s="120">
        <f>'Inputs by customer type'!AB31</f>
        <v>0</v>
      </c>
    </row>
    <row r="27" spans="5:30" x14ac:dyDescent="0.25">
      <c r="E27" s="28"/>
      <c r="F27" s="72" t="s">
        <v>248</v>
      </c>
      <c r="G27" s="72" t="s">
        <v>206</v>
      </c>
      <c r="J27" s="120">
        <f>'Inputs by customer type'!J32</f>
        <v>44956.580637555373</v>
      </c>
      <c r="K27" s="120">
        <f>'Inputs by customer type'!K32</f>
        <v>257.47123756913317</v>
      </c>
      <c r="L27" s="120">
        <f>'Inputs by customer type'!L32</f>
        <v>3140.330539372042</v>
      </c>
      <c r="M27" s="120">
        <f>'Inputs by customer type'!M32</f>
        <v>0</v>
      </c>
      <c r="N27" s="120">
        <f>'Inputs by customer type'!N32</f>
        <v>6545.246000000001</v>
      </c>
      <c r="O27" s="120">
        <f>'Inputs by customer type'!O32</f>
        <v>0</v>
      </c>
      <c r="P27" s="120">
        <f>'Inputs by customer type'!P32</f>
        <v>0</v>
      </c>
      <c r="Q27" s="120">
        <f>'Inputs by customer type'!Q32</f>
        <v>0</v>
      </c>
      <c r="R27" s="120">
        <f>'Inputs by customer type'!R32</f>
        <v>0</v>
      </c>
      <c r="S27" s="120">
        <f>'Inputs by customer type'!S32</f>
        <v>0</v>
      </c>
      <c r="T27" s="120">
        <f>'Inputs by customer type'!T32</f>
        <v>303.25428634096841</v>
      </c>
      <c r="U27" s="120">
        <f>'Inputs by customer type'!U32</f>
        <v>1.9454499908954175</v>
      </c>
      <c r="V27" s="120">
        <f>'Inputs by customer type'!V32</f>
        <v>0</v>
      </c>
      <c r="W27" s="120">
        <f>'Inputs by customer type'!W32</f>
        <v>0</v>
      </c>
      <c r="X27" s="120">
        <f>'Inputs by customer type'!X32</f>
        <v>0</v>
      </c>
      <c r="Y27" s="120">
        <f>'Inputs by customer type'!Y32</f>
        <v>0</v>
      </c>
      <c r="Z27" s="120">
        <f>'Inputs by customer type'!Z32</f>
        <v>0</v>
      </c>
      <c r="AA27" s="120">
        <f>'Inputs by customer type'!AA32</f>
        <v>0</v>
      </c>
      <c r="AB27" s="120">
        <f>'Inputs by customer type'!AB32</f>
        <v>0</v>
      </c>
    </row>
    <row r="28" spans="5:30" x14ac:dyDescent="0.25">
      <c r="E28" s="28"/>
      <c r="F28" s="72" t="s">
        <v>211</v>
      </c>
      <c r="G28" s="72" t="s">
        <v>211</v>
      </c>
      <c r="J28" s="120">
        <f>'Inputs by customer type'!J33</f>
        <v>41179.93548387097</v>
      </c>
      <c r="K28" s="120">
        <f>'Inputs by customer type'!K33</f>
        <v>67</v>
      </c>
      <c r="L28" s="120">
        <f>'Inputs by customer type'!L33</f>
        <v>1036.6774193548388</v>
      </c>
      <c r="M28" s="120">
        <f>'Inputs by customer type'!M33</f>
        <v>0</v>
      </c>
      <c r="N28" s="120">
        <f>'Inputs by customer type'!N33</f>
        <v>76</v>
      </c>
      <c r="O28" s="120">
        <f>'Inputs by customer type'!O33</f>
        <v>0</v>
      </c>
      <c r="P28" s="120">
        <f>'Inputs by customer type'!P33</f>
        <v>0</v>
      </c>
      <c r="Q28" s="120">
        <f>'Inputs by customer type'!Q33</f>
        <v>0</v>
      </c>
      <c r="R28" s="120">
        <f>'Inputs by customer type'!R33</f>
        <v>0</v>
      </c>
      <c r="S28" s="120">
        <f>'Inputs by customer type'!S33</f>
        <v>0</v>
      </c>
      <c r="T28" s="120">
        <f>'Inputs by customer type'!T33</f>
        <v>34</v>
      </c>
      <c r="U28" s="120">
        <f>'Inputs by customer type'!U33</f>
        <v>3</v>
      </c>
      <c r="V28" s="120">
        <f>'Inputs by customer type'!V33</f>
        <v>0</v>
      </c>
      <c r="W28" s="120">
        <f>'Inputs by customer type'!W33</f>
        <v>0</v>
      </c>
      <c r="X28" s="120">
        <f>'Inputs by customer type'!X33</f>
        <v>0</v>
      </c>
      <c r="Y28" s="120">
        <f>'Inputs by customer type'!Y33</f>
        <v>0</v>
      </c>
      <c r="Z28" s="120">
        <f>'Inputs by customer type'!Z33</f>
        <v>0</v>
      </c>
      <c r="AA28" s="120">
        <f>'Inputs by customer type'!AA33</f>
        <v>0</v>
      </c>
      <c r="AB28" s="120">
        <f>'Inputs by customer type'!AB33</f>
        <v>0</v>
      </c>
    </row>
    <row r="29" spans="5:30" x14ac:dyDescent="0.25">
      <c r="E29" s="28"/>
      <c r="F29" s="72" t="s">
        <v>249</v>
      </c>
      <c r="G29" s="72" t="s">
        <v>250</v>
      </c>
      <c r="J29" s="120">
        <f>'Inputs by customer type'!J34</f>
        <v>0</v>
      </c>
      <c r="K29" s="120">
        <f>'Inputs by customer type'!K34</f>
        <v>0</v>
      </c>
      <c r="L29" s="120">
        <f>'Inputs by customer type'!L34</f>
        <v>0</v>
      </c>
      <c r="M29" s="120">
        <f>'Inputs by customer type'!M34</f>
        <v>0</v>
      </c>
      <c r="N29" s="120">
        <f>'Inputs by customer type'!N34</f>
        <v>10403</v>
      </c>
      <c r="O29" s="120">
        <f>'Inputs by customer type'!O34</f>
        <v>0</v>
      </c>
      <c r="P29" s="120">
        <f>'Inputs by customer type'!P34</f>
        <v>0</v>
      </c>
      <c r="Q29" s="120">
        <f>'Inputs by customer type'!Q34</f>
        <v>0</v>
      </c>
      <c r="R29" s="120">
        <f>'Inputs by customer type'!R34</f>
        <v>0</v>
      </c>
      <c r="S29" s="120">
        <f>'Inputs by customer type'!S34</f>
        <v>0</v>
      </c>
      <c r="T29" s="120">
        <f>'Inputs by customer type'!T34</f>
        <v>0</v>
      </c>
      <c r="U29" s="120">
        <f>'Inputs by customer type'!U34</f>
        <v>0</v>
      </c>
      <c r="V29" s="120">
        <f>'Inputs by customer type'!V34</f>
        <v>0</v>
      </c>
      <c r="W29" s="120">
        <f>'Inputs by customer type'!W34</f>
        <v>0</v>
      </c>
      <c r="X29" s="120">
        <f>'Inputs by customer type'!X34</f>
        <v>0</v>
      </c>
      <c r="Y29" s="120">
        <f>'Inputs by customer type'!Y34</f>
        <v>0</v>
      </c>
      <c r="Z29" s="120">
        <f>'Inputs by customer type'!Z34</f>
        <v>0</v>
      </c>
      <c r="AA29" s="120">
        <f>'Inputs by customer type'!AA34</f>
        <v>0</v>
      </c>
      <c r="AB29" s="120">
        <f>'Inputs by customer type'!AB34</f>
        <v>0</v>
      </c>
    </row>
    <row r="30" spans="5:30" x14ac:dyDescent="0.25">
      <c r="E30" s="28"/>
      <c r="F30" s="72" t="s">
        <v>251</v>
      </c>
      <c r="G30" s="72" t="s">
        <v>250</v>
      </c>
      <c r="J30" s="120">
        <f>'Inputs by customer type'!J35</f>
        <v>0</v>
      </c>
      <c r="K30" s="120">
        <f>'Inputs by customer type'!K35</f>
        <v>0</v>
      </c>
      <c r="L30" s="120">
        <f>'Inputs by customer type'!L35</f>
        <v>0</v>
      </c>
      <c r="M30" s="120">
        <f>'Inputs by customer type'!M35</f>
        <v>0</v>
      </c>
      <c r="N30" s="120">
        <f>'Inputs by customer type'!N35</f>
        <v>41.612000000000002</v>
      </c>
      <c r="O30" s="120">
        <f>'Inputs by customer type'!O35</f>
        <v>0</v>
      </c>
      <c r="P30" s="120">
        <f>'Inputs by customer type'!P35</f>
        <v>0</v>
      </c>
      <c r="Q30" s="120">
        <f>'Inputs by customer type'!Q35</f>
        <v>0</v>
      </c>
      <c r="R30" s="120">
        <f>'Inputs by customer type'!R35</f>
        <v>0</v>
      </c>
      <c r="S30" s="120">
        <f>'Inputs by customer type'!S35</f>
        <v>0</v>
      </c>
      <c r="T30" s="120">
        <f>'Inputs by customer type'!T35</f>
        <v>0</v>
      </c>
      <c r="U30" s="120">
        <f>'Inputs by customer type'!U35</f>
        <v>0</v>
      </c>
      <c r="V30" s="120">
        <f>'Inputs by customer type'!V35</f>
        <v>0</v>
      </c>
      <c r="W30" s="120">
        <f>'Inputs by customer type'!W35</f>
        <v>0</v>
      </c>
      <c r="X30" s="120">
        <f>'Inputs by customer type'!X35</f>
        <v>0</v>
      </c>
      <c r="Y30" s="120">
        <f>'Inputs by customer type'!Y35</f>
        <v>0</v>
      </c>
      <c r="Z30" s="120">
        <f>'Inputs by customer type'!Z35</f>
        <v>0</v>
      </c>
      <c r="AA30" s="120">
        <f>'Inputs by customer type'!AA35</f>
        <v>0</v>
      </c>
      <c r="AB30" s="120">
        <f>'Inputs by customer type'!AB35</f>
        <v>0</v>
      </c>
    </row>
    <row r="31" spans="5:30" x14ac:dyDescent="0.25">
      <c r="E31" s="28"/>
      <c r="F31" s="80" t="s">
        <v>252</v>
      </c>
      <c r="G31" s="80" t="s">
        <v>253</v>
      </c>
      <c r="H31" s="37"/>
      <c r="I31" s="37"/>
      <c r="J31" s="125">
        <f>'Inputs by customer type'!J36</f>
        <v>0</v>
      </c>
      <c r="K31" s="125">
        <f>'Inputs by customer type'!K36</f>
        <v>0</v>
      </c>
      <c r="L31" s="125">
        <f>'Inputs by customer type'!L36</f>
        <v>0</v>
      </c>
      <c r="M31" s="125">
        <f>'Inputs by customer type'!M36</f>
        <v>0</v>
      </c>
      <c r="N31" s="125">
        <f>'Inputs by customer type'!N36</f>
        <v>936</v>
      </c>
      <c r="O31" s="125">
        <f>'Inputs by customer type'!O36</f>
        <v>0</v>
      </c>
      <c r="P31" s="125">
        <f>'Inputs by customer type'!P36</f>
        <v>0</v>
      </c>
      <c r="Q31" s="125">
        <f>'Inputs by customer type'!Q36</f>
        <v>0</v>
      </c>
      <c r="R31" s="125">
        <f>'Inputs by customer type'!R36</f>
        <v>0</v>
      </c>
      <c r="S31" s="125">
        <f>'Inputs by customer type'!S36</f>
        <v>0</v>
      </c>
      <c r="T31" s="125">
        <f>'Inputs by customer type'!T36</f>
        <v>0</v>
      </c>
      <c r="U31" s="125">
        <f>'Inputs by customer type'!U36</f>
        <v>0</v>
      </c>
      <c r="V31" s="125">
        <f>'Inputs by customer type'!V36</f>
        <v>0</v>
      </c>
      <c r="W31" s="125">
        <f>'Inputs by customer type'!W36</f>
        <v>0</v>
      </c>
      <c r="X31" s="125">
        <f>'Inputs by customer type'!X36</f>
        <v>0</v>
      </c>
      <c r="Y31" s="125">
        <f>'Inputs by customer type'!Y36</f>
        <v>0</v>
      </c>
      <c r="Z31" s="125">
        <f>'Inputs by customer type'!Z36</f>
        <v>0</v>
      </c>
      <c r="AA31" s="125">
        <f>'Inputs by customer type'!AA36</f>
        <v>0</v>
      </c>
      <c r="AB31" s="125">
        <f>'Inputs by customer type'!AB36</f>
        <v>0</v>
      </c>
    </row>
    <row r="32" spans="5:30" s="263" customFormat="1" x14ac:dyDescent="0.25">
      <c r="E32" s="267"/>
      <c r="F32" s="239"/>
      <c r="G32" s="239"/>
      <c r="J32" s="268"/>
      <c r="K32" s="268"/>
      <c r="L32" s="268"/>
      <c r="M32" s="268"/>
      <c r="N32" s="268"/>
      <c r="O32" s="268"/>
      <c r="P32" s="268"/>
      <c r="Q32" s="268"/>
      <c r="R32" s="268"/>
      <c r="S32" s="268"/>
      <c r="T32" s="268"/>
      <c r="U32" s="268"/>
      <c r="V32" s="268"/>
      <c r="W32" s="268"/>
      <c r="X32" s="268"/>
      <c r="Y32" s="268"/>
      <c r="Z32" s="268"/>
      <c r="AA32" s="268"/>
      <c r="AB32" s="268"/>
    </row>
    <row r="33" spans="3:30" x14ac:dyDescent="0.25">
      <c r="E33" s="32" t="s">
        <v>255</v>
      </c>
      <c r="F33" s="80"/>
      <c r="G33" s="80"/>
      <c r="H33" s="37"/>
      <c r="I33" t="s">
        <v>153</v>
      </c>
      <c r="J33" s="82"/>
      <c r="K33" s="82"/>
      <c r="L33" s="82"/>
      <c r="M33" s="82"/>
      <c r="N33" s="82"/>
      <c r="O33" s="82"/>
      <c r="P33" s="82"/>
      <c r="Q33" s="82"/>
      <c r="R33" s="82"/>
      <c r="S33" s="82"/>
      <c r="T33" s="82"/>
      <c r="U33" s="82"/>
      <c r="V33" s="82"/>
      <c r="W33" s="82"/>
      <c r="X33" s="82"/>
      <c r="Y33" s="82"/>
      <c r="Z33" s="82"/>
      <c r="AA33" s="82"/>
      <c r="AB33" s="82"/>
      <c r="AD33" t="s">
        <v>245</v>
      </c>
    </row>
    <row r="34" spans="3:30" x14ac:dyDescent="0.25">
      <c r="E34" s="28"/>
      <c r="F34" s="72" t="s">
        <v>246</v>
      </c>
      <c r="G34" s="72" t="s">
        <v>206</v>
      </c>
      <c r="I34" s="23"/>
      <c r="J34" s="124">
        <f>'Inputs by customer type'!J39</f>
        <v>20104.099696926573</v>
      </c>
      <c r="K34" s="124">
        <f>'Inputs by customer type'!K39</f>
        <v>2.0480897481131533</v>
      </c>
      <c r="L34" s="124">
        <f>'Inputs by customer type'!L39</f>
        <v>2081.7354094794059</v>
      </c>
      <c r="M34" s="124">
        <f>'Inputs by customer type'!M39</f>
        <v>0</v>
      </c>
      <c r="N34" s="124">
        <f>'Inputs by customer type'!N39</f>
        <v>13322.004999999999</v>
      </c>
      <c r="O34" s="124">
        <f>'Inputs by customer type'!O39</f>
        <v>2210.538</v>
      </c>
      <c r="P34" s="124">
        <f>'Inputs by customer type'!P39</f>
        <v>5129.4559999999992</v>
      </c>
      <c r="Q34" s="124">
        <f>'Inputs by customer type'!Q39</f>
        <v>0</v>
      </c>
      <c r="R34" s="124">
        <f>'Inputs by customer type'!R39</f>
        <v>0</v>
      </c>
      <c r="S34" s="124">
        <f>'Inputs by customer type'!S39</f>
        <v>0</v>
      </c>
      <c r="T34" s="124">
        <f>'Inputs by customer type'!T39</f>
        <v>30.879361230900383</v>
      </c>
      <c r="U34" s="124">
        <f>'Inputs by customer type'!U39</f>
        <v>0.25597879022110009</v>
      </c>
      <c r="V34" s="124">
        <f>'Inputs by customer type'!V39</f>
        <v>0</v>
      </c>
      <c r="W34" s="124">
        <f>'Inputs by customer type'!W39</f>
        <v>0</v>
      </c>
      <c r="X34" s="124">
        <f>'Inputs by customer type'!X39</f>
        <v>0</v>
      </c>
      <c r="Y34" s="124">
        <f>'Inputs by customer type'!Y39</f>
        <v>0</v>
      </c>
      <c r="Z34" s="124">
        <f>'Inputs by customer type'!Z39</f>
        <v>0</v>
      </c>
      <c r="AA34" s="124">
        <f>'Inputs by customer type'!AA39</f>
        <v>0</v>
      </c>
      <c r="AB34" s="124">
        <f>'Inputs by customer type'!AB39</f>
        <v>0</v>
      </c>
    </row>
    <row r="35" spans="3:30" x14ac:dyDescent="0.25">
      <c r="E35" s="28"/>
      <c r="F35" s="72" t="s">
        <v>247</v>
      </c>
      <c r="G35" s="72" t="s">
        <v>206</v>
      </c>
      <c r="J35" s="120">
        <f>'Inputs by customer type'!J40</f>
        <v>71593.395504093525</v>
      </c>
      <c r="K35" s="120">
        <f>'Inputs by customer type'!K40</f>
        <v>37.263746671521595</v>
      </c>
      <c r="L35" s="120">
        <f>'Inputs by customer type'!L40</f>
        <v>11268.104540991542</v>
      </c>
      <c r="M35" s="120">
        <f>'Inputs by customer type'!M40</f>
        <v>0</v>
      </c>
      <c r="N35" s="120">
        <f>'Inputs by customer type'!N40</f>
        <v>59210.165999999997</v>
      </c>
      <c r="O35" s="120">
        <f>'Inputs by customer type'!O40</f>
        <v>9690.4299999999985</v>
      </c>
      <c r="P35" s="120">
        <f>'Inputs by customer type'!P40</f>
        <v>23108.695</v>
      </c>
      <c r="Q35" s="120">
        <f>'Inputs by customer type'!Q40</f>
        <v>0</v>
      </c>
      <c r="R35" s="120">
        <f>'Inputs by customer type'!R40</f>
        <v>0</v>
      </c>
      <c r="S35" s="120">
        <f>'Inputs by customer type'!S40</f>
        <v>0</v>
      </c>
      <c r="T35" s="120">
        <f>'Inputs by customer type'!T40</f>
        <v>425.49872061278865</v>
      </c>
      <c r="U35" s="120">
        <f>'Inputs by customer type'!U40</f>
        <v>0.94265200118290493</v>
      </c>
      <c r="V35" s="120">
        <f>'Inputs by customer type'!V40</f>
        <v>0</v>
      </c>
      <c r="W35" s="120">
        <f>'Inputs by customer type'!W40</f>
        <v>0</v>
      </c>
      <c r="X35" s="120">
        <f>'Inputs by customer type'!X40</f>
        <v>0</v>
      </c>
      <c r="Y35" s="120">
        <f>'Inputs by customer type'!Y40</f>
        <v>0</v>
      </c>
      <c r="Z35" s="120">
        <f>'Inputs by customer type'!Z40</f>
        <v>0</v>
      </c>
      <c r="AA35" s="120">
        <f>'Inputs by customer type'!AA40</f>
        <v>0</v>
      </c>
      <c r="AB35" s="120">
        <f>'Inputs by customer type'!AB40</f>
        <v>0</v>
      </c>
    </row>
    <row r="36" spans="3:30" x14ac:dyDescent="0.25">
      <c r="E36" s="28"/>
      <c r="F36" s="72" t="s">
        <v>248</v>
      </c>
      <c r="G36" s="72" t="s">
        <v>206</v>
      </c>
      <c r="J36" s="120">
        <f>'Inputs by customer type'!J41</f>
        <v>65951.865798979896</v>
      </c>
      <c r="K36" s="120">
        <f>'Inputs by customer type'!K41</f>
        <v>378.23816358036527</v>
      </c>
      <c r="L36" s="120">
        <f>'Inputs by customer type'!L41</f>
        <v>10881.052049529049</v>
      </c>
      <c r="M36" s="120">
        <f>'Inputs by customer type'!M41</f>
        <v>0</v>
      </c>
      <c r="N36" s="120">
        <f>'Inputs by customer type'!N41</f>
        <v>50706.112000000001</v>
      </c>
      <c r="O36" s="120">
        <f>'Inputs by customer type'!O41</f>
        <v>8312.2019999999993</v>
      </c>
      <c r="P36" s="120">
        <f>'Inputs by customer type'!P41</f>
        <v>25303.565000000002</v>
      </c>
      <c r="Q36" s="120">
        <f>'Inputs by customer type'!Q41</f>
        <v>0</v>
      </c>
      <c r="R36" s="120">
        <f>'Inputs by customer type'!R41</f>
        <v>0</v>
      </c>
      <c r="S36" s="120">
        <f>'Inputs by customer type'!S41</f>
        <v>0</v>
      </c>
      <c r="T36" s="120">
        <f>'Inputs by customer type'!T41</f>
        <v>470.53235815631092</v>
      </c>
      <c r="U36" s="120">
        <f>'Inputs by customer type'!U41</f>
        <v>0.86715492288170914</v>
      </c>
      <c r="V36" s="120">
        <f>'Inputs by customer type'!V41</f>
        <v>0</v>
      </c>
      <c r="W36" s="120">
        <f>'Inputs by customer type'!W41</f>
        <v>0</v>
      </c>
      <c r="X36" s="120">
        <f>'Inputs by customer type'!X41</f>
        <v>0</v>
      </c>
      <c r="Y36" s="120">
        <f>'Inputs by customer type'!Y41</f>
        <v>0</v>
      </c>
      <c r="Z36" s="120">
        <f>'Inputs by customer type'!Z41</f>
        <v>0</v>
      </c>
      <c r="AA36" s="120">
        <f>'Inputs by customer type'!AA41</f>
        <v>0</v>
      </c>
      <c r="AB36" s="120">
        <f>'Inputs by customer type'!AB41</f>
        <v>0</v>
      </c>
    </row>
    <row r="37" spans="3:30" x14ac:dyDescent="0.25">
      <c r="E37" s="28"/>
      <c r="F37" s="72" t="s">
        <v>211</v>
      </c>
      <c r="G37" s="72" t="s">
        <v>211</v>
      </c>
      <c r="J37" s="120">
        <f>'Inputs by customer type'!J42</f>
        <v>58740.548387096773</v>
      </c>
      <c r="K37" s="120">
        <f>'Inputs by customer type'!K42</f>
        <v>78.451612903225808</v>
      </c>
      <c r="L37" s="120">
        <f>'Inputs by customer type'!L42</f>
        <v>1509.8709677419354</v>
      </c>
      <c r="M37" s="120">
        <f>'Inputs by customer type'!M42</f>
        <v>0</v>
      </c>
      <c r="N37" s="120">
        <f>'Inputs by customer type'!N42</f>
        <v>381</v>
      </c>
      <c r="O37" s="120">
        <f>'Inputs by customer type'!O42</f>
        <v>26</v>
      </c>
      <c r="P37" s="120">
        <f>'Inputs by customer type'!P42</f>
        <v>30</v>
      </c>
      <c r="Q37" s="120">
        <f>'Inputs by customer type'!Q42</f>
        <v>0</v>
      </c>
      <c r="R37" s="120">
        <f>'Inputs by customer type'!R42</f>
        <v>0</v>
      </c>
      <c r="S37" s="120">
        <f>'Inputs by customer type'!S42</f>
        <v>0</v>
      </c>
      <c r="T37" s="120">
        <f>'Inputs by customer type'!T42</f>
        <v>46</v>
      </c>
      <c r="U37" s="120">
        <f>'Inputs by customer type'!U42</f>
        <v>5</v>
      </c>
      <c r="V37" s="120">
        <f>'Inputs by customer type'!V42</f>
        <v>0</v>
      </c>
      <c r="W37" s="120">
        <f>'Inputs by customer type'!W42</f>
        <v>0</v>
      </c>
      <c r="X37" s="120">
        <f>'Inputs by customer type'!X42</f>
        <v>0</v>
      </c>
      <c r="Y37" s="120">
        <f>'Inputs by customer type'!Y42</f>
        <v>0</v>
      </c>
      <c r="Z37" s="120">
        <f>'Inputs by customer type'!Z42</f>
        <v>0</v>
      </c>
      <c r="AA37" s="120">
        <f>'Inputs by customer type'!AA42</f>
        <v>0</v>
      </c>
      <c r="AB37" s="120">
        <f>'Inputs by customer type'!AB42</f>
        <v>0</v>
      </c>
    </row>
    <row r="38" spans="3:30" x14ac:dyDescent="0.25">
      <c r="E38" s="28"/>
      <c r="F38" s="72" t="s">
        <v>249</v>
      </c>
      <c r="G38" s="72" t="s">
        <v>250</v>
      </c>
      <c r="J38" s="120">
        <f>'Inputs by customer type'!J43</f>
        <v>0</v>
      </c>
      <c r="K38" s="120">
        <f>'Inputs by customer type'!K43</f>
        <v>0</v>
      </c>
      <c r="L38" s="120">
        <f>'Inputs by customer type'!L43</f>
        <v>0</v>
      </c>
      <c r="M38" s="120">
        <f>'Inputs by customer type'!M43</f>
        <v>0</v>
      </c>
      <c r="N38" s="120">
        <f>'Inputs by customer type'!N43</f>
        <v>87614</v>
      </c>
      <c r="O38" s="120">
        <f>'Inputs by customer type'!O43</f>
        <v>13995</v>
      </c>
      <c r="P38" s="120">
        <f>'Inputs by customer type'!P43</f>
        <v>28618</v>
      </c>
      <c r="Q38" s="120">
        <f>'Inputs by customer type'!Q43</f>
        <v>0</v>
      </c>
      <c r="R38" s="120">
        <f>'Inputs by customer type'!R43</f>
        <v>0</v>
      </c>
      <c r="S38" s="120">
        <f>'Inputs by customer type'!S43</f>
        <v>0</v>
      </c>
      <c r="T38" s="120">
        <f>'Inputs by customer type'!T43</f>
        <v>0</v>
      </c>
      <c r="U38" s="120">
        <f>'Inputs by customer type'!U43</f>
        <v>0</v>
      </c>
      <c r="V38" s="120">
        <f>'Inputs by customer type'!V43</f>
        <v>0</v>
      </c>
      <c r="W38" s="120">
        <f>'Inputs by customer type'!W43</f>
        <v>0</v>
      </c>
      <c r="X38" s="120">
        <f>'Inputs by customer type'!X43</f>
        <v>0</v>
      </c>
      <c r="Y38" s="120">
        <f>'Inputs by customer type'!Y43</f>
        <v>0</v>
      </c>
      <c r="Z38" s="120">
        <f>'Inputs by customer type'!Z43</f>
        <v>0</v>
      </c>
      <c r="AA38" s="120">
        <f>'Inputs by customer type'!AA43</f>
        <v>0</v>
      </c>
      <c r="AB38" s="120">
        <f>'Inputs by customer type'!AB43</f>
        <v>0</v>
      </c>
    </row>
    <row r="39" spans="3:30" x14ac:dyDescent="0.25">
      <c r="E39" s="28"/>
      <c r="F39" s="72" t="s">
        <v>251</v>
      </c>
      <c r="G39" s="72" t="s">
        <v>250</v>
      </c>
      <c r="J39" s="120">
        <f>'Inputs by customer type'!J44</f>
        <v>0</v>
      </c>
      <c r="K39" s="120">
        <f>'Inputs by customer type'!K44</f>
        <v>0</v>
      </c>
      <c r="L39" s="120">
        <f>'Inputs by customer type'!L44</f>
        <v>0</v>
      </c>
      <c r="M39" s="120">
        <f>'Inputs by customer type'!M44</f>
        <v>0</v>
      </c>
      <c r="N39" s="120">
        <f>'Inputs by customer type'!N44</f>
        <v>175.22800000000001</v>
      </c>
      <c r="O39" s="120">
        <f>'Inputs by customer type'!O44</f>
        <v>0</v>
      </c>
      <c r="P39" s="120">
        <f>'Inputs by customer type'!P44</f>
        <v>14.309000000000001</v>
      </c>
      <c r="Q39" s="120">
        <f>'Inputs by customer type'!Q44</f>
        <v>0</v>
      </c>
      <c r="R39" s="120">
        <f>'Inputs by customer type'!R44</f>
        <v>0</v>
      </c>
      <c r="S39" s="120">
        <f>'Inputs by customer type'!S44</f>
        <v>0</v>
      </c>
      <c r="T39" s="120">
        <f>'Inputs by customer type'!T44</f>
        <v>0</v>
      </c>
      <c r="U39" s="120">
        <f>'Inputs by customer type'!U44</f>
        <v>0</v>
      </c>
      <c r="V39" s="120">
        <f>'Inputs by customer type'!V44</f>
        <v>0</v>
      </c>
      <c r="W39" s="120">
        <f>'Inputs by customer type'!W44</f>
        <v>0</v>
      </c>
      <c r="X39" s="120">
        <f>'Inputs by customer type'!X44</f>
        <v>0</v>
      </c>
      <c r="Y39" s="120">
        <f>'Inputs by customer type'!Y44</f>
        <v>0</v>
      </c>
      <c r="Z39" s="120">
        <f>'Inputs by customer type'!Z44</f>
        <v>0</v>
      </c>
      <c r="AA39" s="120">
        <f>'Inputs by customer type'!AA44</f>
        <v>0</v>
      </c>
      <c r="AB39" s="120">
        <f>'Inputs by customer type'!AB44</f>
        <v>0</v>
      </c>
    </row>
    <row r="40" spans="3:30" x14ac:dyDescent="0.25">
      <c r="E40" s="28"/>
      <c r="F40" s="80" t="s">
        <v>252</v>
      </c>
      <c r="G40" s="80" t="s">
        <v>253</v>
      </c>
      <c r="H40" s="37"/>
      <c r="I40" s="37"/>
      <c r="J40" s="125">
        <f>'Inputs by customer type'!J45</f>
        <v>0</v>
      </c>
      <c r="K40" s="125">
        <f>'Inputs by customer type'!K45</f>
        <v>0</v>
      </c>
      <c r="L40" s="125">
        <f>'Inputs by customer type'!L45</f>
        <v>0</v>
      </c>
      <c r="M40" s="125">
        <f>'Inputs by customer type'!M45</f>
        <v>0</v>
      </c>
      <c r="N40" s="125">
        <f>'Inputs by customer type'!N45</f>
        <v>9000</v>
      </c>
      <c r="O40" s="125">
        <f>'Inputs by customer type'!O45</f>
        <v>1320</v>
      </c>
      <c r="P40" s="125">
        <f>'Inputs by customer type'!P45</f>
        <v>1908</v>
      </c>
      <c r="Q40" s="125">
        <f>'Inputs by customer type'!Q45</f>
        <v>0</v>
      </c>
      <c r="R40" s="125">
        <f>'Inputs by customer type'!R45</f>
        <v>0</v>
      </c>
      <c r="S40" s="125">
        <f>'Inputs by customer type'!S45</f>
        <v>0</v>
      </c>
      <c r="T40" s="125">
        <f>'Inputs by customer type'!T45</f>
        <v>0</v>
      </c>
      <c r="U40" s="125">
        <f>'Inputs by customer type'!U45</f>
        <v>0</v>
      </c>
      <c r="V40" s="125">
        <f>'Inputs by customer type'!V45</f>
        <v>0</v>
      </c>
      <c r="W40" s="125">
        <f>'Inputs by customer type'!W45</f>
        <v>0</v>
      </c>
      <c r="X40" s="125">
        <f>'Inputs by customer type'!X45</f>
        <v>0</v>
      </c>
      <c r="Y40" s="125">
        <f>'Inputs by customer type'!Y45</f>
        <v>0</v>
      </c>
      <c r="Z40" s="125">
        <f>'Inputs by customer type'!Z45</f>
        <v>0</v>
      </c>
      <c r="AA40" s="125">
        <f>'Inputs by customer type'!AA45</f>
        <v>0</v>
      </c>
      <c r="AB40" s="125">
        <f>'Inputs by customer type'!AB45</f>
        <v>0</v>
      </c>
    </row>
    <row r="41" spans="3:30" x14ac:dyDescent="0.25">
      <c r="E41" s="28"/>
      <c r="G41" s="13"/>
      <c r="J41" s="89"/>
      <c r="K41" s="89"/>
      <c r="L41" s="89"/>
      <c r="M41" s="89"/>
      <c r="N41" s="89"/>
      <c r="O41" s="89"/>
      <c r="P41" s="89"/>
      <c r="Q41" s="89"/>
      <c r="R41" s="89"/>
      <c r="S41" s="89"/>
      <c r="T41" s="89"/>
      <c r="U41" s="89"/>
      <c r="V41" s="89"/>
      <c r="W41" s="89"/>
      <c r="X41" s="89"/>
      <c r="Y41" s="89"/>
      <c r="Z41" s="89"/>
      <c r="AA41" s="89"/>
      <c r="AB41" s="89"/>
    </row>
    <row r="42" spans="3:30" x14ac:dyDescent="0.25">
      <c r="C42" s="31" t="str">
        <f ca="1">INDEX('Version control'!$H$34:$H$57,MATCH($A$1,'Version control'!$F$34:$F$57,0),1)&amp;"-B: Tariff forecast"</f>
        <v>Section 118-B: Tariff forecast</v>
      </c>
      <c r="D42" s="31"/>
      <c r="E42" s="31"/>
      <c r="F42" s="31"/>
      <c r="G42" s="31"/>
      <c r="H42" s="31"/>
      <c r="I42" s="31"/>
      <c r="J42" s="90"/>
      <c r="K42" s="90"/>
      <c r="L42" s="90"/>
      <c r="M42" s="90"/>
      <c r="N42" s="90"/>
      <c r="O42" s="90"/>
      <c r="P42" s="90"/>
      <c r="Q42" s="90"/>
      <c r="R42" s="90"/>
      <c r="S42" s="90"/>
      <c r="T42" s="90"/>
      <c r="U42" s="90"/>
      <c r="V42" s="90"/>
      <c r="W42" s="90"/>
      <c r="X42" s="90"/>
      <c r="Y42" s="90"/>
      <c r="Z42" s="90"/>
      <c r="AA42" s="90"/>
      <c r="AB42" s="90"/>
      <c r="AC42" s="31"/>
      <c r="AD42" s="31"/>
    </row>
    <row r="43" spans="3:30" x14ac:dyDescent="0.25">
      <c r="D43" s="32"/>
      <c r="E43" s="28"/>
      <c r="G43" s="13"/>
      <c r="J43" s="89"/>
      <c r="K43" s="89"/>
      <c r="L43" s="89"/>
      <c r="M43" s="89"/>
      <c r="N43" s="89"/>
      <c r="O43" s="89"/>
      <c r="P43" s="89"/>
      <c r="Q43" s="89"/>
      <c r="R43" s="89"/>
      <c r="S43" s="89"/>
      <c r="T43" s="89"/>
      <c r="U43" s="89"/>
      <c r="V43" s="89"/>
      <c r="W43" s="89"/>
      <c r="X43" s="89"/>
      <c r="Y43" s="89"/>
      <c r="Z43" s="89"/>
      <c r="AA43" s="89"/>
      <c r="AB43" s="89"/>
    </row>
    <row r="44" spans="3:30" x14ac:dyDescent="0.25">
      <c r="E44" s="32" t="s">
        <v>823</v>
      </c>
      <c r="G44" s="13"/>
      <c r="I44" t="s">
        <v>153</v>
      </c>
      <c r="J44" s="89"/>
      <c r="K44" s="89"/>
      <c r="L44" s="89"/>
      <c r="M44" s="89"/>
      <c r="N44" s="89"/>
      <c r="O44" s="89"/>
      <c r="P44" s="89"/>
      <c r="Q44" s="89"/>
      <c r="R44" s="89"/>
      <c r="S44" s="89"/>
      <c r="T44" s="89"/>
      <c r="U44" s="89"/>
      <c r="V44" s="89"/>
      <c r="W44" s="89"/>
      <c r="X44" s="89"/>
      <c r="Y44" s="89"/>
      <c r="Z44" s="89"/>
      <c r="AA44" s="89"/>
      <c r="AB44" s="89"/>
      <c r="AD44" t="s">
        <v>154</v>
      </c>
    </row>
    <row r="45" spans="3:30" x14ac:dyDescent="0.25">
      <c r="F45" s="23" t="s">
        <v>155</v>
      </c>
      <c r="G45" s="85" t="s">
        <v>268</v>
      </c>
      <c r="H45" s="285"/>
      <c r="I45" s="269"/>
      <c r="J45" s="285">
        <f>Rounding!J130</f>
        <v>10.154999999999999</v>
      </c>
      <c r="K45" s="285">
        <f>Rounding!K130</f>
        <v>10.154999999999999</v>
      </c>
      <c r="L45" s="285">
        <f>Rounding!L130</f>
        <v>11.609</v>
      </c>
      <c r="M45" s="285">
        <f>Rounding!M130</f>
        <v>11.609</v>
      </c>
      <c r="N45" s="285">
        <f>Rounding!N130</f>
        <v>8.1809999999999992</v>
      </c>
      <c r="O45" s="285">
        <f>Rounding!O130</f>
        <v>5.3090000000000002</v>
      </c>
      <c r="P45" s="285">
        <f>Rounding!P130</f>
        <v>4.3010000000000002</v>
      </c>
      <c r="Q45" s="285">
        <f>Rounding!Q130</f>
        <v>7.0339999999999998</v>
      </c>
      <c r="R45" s="285">
        <f>Rounding!R130</f>
        <v>4.1619999999999999</v>
      </c>
      <c r="S45" s="285">
        <f>Rounding!S130</f>
        <v>3.153</v>
      </c>
      <c r="T45" s="285">
        <f>Rounding!T130</f>
        <v>22.728000000000002</v>
      </c>
      <c r="U45" s="285">
        <f>Rounding!U130</f>
        <v>-6.4409999999999998</v>
      </c>
      <c r="V45" s="285">
        <f>Rounding!V130</f>
        <v>-5.6890000000000001</v>
      </c>
      <c r="W45" s="285">
        <f>Rounding!W130</f>
        <v>-6.4409999999999998</v>
      </c>
      <c r="X45" s="285">
        <f>Rounding!X130</f>
        <v>-6.4409999999999998</v>
      </c>
      <c r="Y45" s="285">
        <f>Rounding!Y130</f>
        <v>-5.6890000000000001</v>
      </c>
      <c r="Z45" s="285">
        <f>Rounding!Z130</f>
        <v>-5.6890000000000001</v>
      </c>
      <c r="AA45" s="285">
        <f>Rounding!AA130</f>
        <v>-3.7330000000000001</v>
      </c>
      <c r="AB45" s="285">
        <f>Rounding!AB130</f>
        <v>-3.7330000000000001</v>
      </c>
      <c r="AC45" s="271"/>
      <c r="AD45" s="271"/>
    </row>
    <row r="46" spans="3:30" x14ac:dyDescent="0.25">
      <c r="E46" s="28"/>
      <c r="F46" t="s">
        <v>156</v>
      </c>
      <c r="G46" s="13" t="s">
        <v>268</v>
      </c>
      <c r="H46" s="286"/>
      <c r="I46" s="271"/>
      <c r="J46" s="286">
        <f>Rounding!J131</f>
        <v>2.0299999999999998</v>
      </c>
      <c r="K46" s="286">
        <f>Rounding!K131</f>
        <v>2.0299999999999998</v>
      </c>
      <c r="L46" s="286">
        <f>Rounding!L131</f>
        <v>2.173</v>
      </c>
      <c r="M46" s="286">
        <f>Rounding!M131</f>
        <v>2.173</v>
      </c>
      <c r="N46" s="286">
        <f>Rounding!N131</f>
        <v>1.8129999999999999</v>
      </c>
      <c r="O46" s="286">
        <f>Rounding!O131</f>
        <v>1.5009999999999999</v>
      </c>
      <c r="P46" s="286">
        <f>Rounding!P131</f>
        <v>1.4</v>
      </c>
      <c r="Q46" s="286">
        <f>Rounding!Q131</f>
        <v>0.66600000000000004</v>
      </c>
      <c r="R46" s="286">
        <f>Rounding!R131</f>
        <v>0.35399999999999998</v>
      </c>
      <c r="S46" s="286">
        <f>Rounding!S131</f>
        <v>0.253</v>
      </c>
      <c r="T46" s="286">
        <f>Rounding!T131</f>
        <v>2.3420000000000001</v>
      </c>
      <c r="U46" s="286">
        <f>Rounding!U131</f>
        <v>-0.63100000000000001</v>
      </c>
      <c r="V46" s="286">
        <f>Rounding!V131</f>
        <v>-0.54800000000000004</v>
      </c>
      <c r="W46" s="286">
        <f>Rounding!W131</f>
        <v>-0.63100000000000001</v>
      </c>
      <c r="X46" s="286">
        <f>Rounding!X131</f>
        <v>-0.63100000000000001</v>
      </c>
      <c r="Y46" s="286">
        <f>Rounding!Y131</f>
        <v>-0.54800000000000004</v>
      </c>
      <c r="Z46" s="286">
        <f>Rounding!Z131</f>
        <v>-0.54800000000000004</v>
      </c>
      <c r="AA46" s="286">
        <f>Rounding!AA131</f>
        <v>-0.316</v>
      </c>
      <c r="AB46" s="286">
        <f>Rounding!AB131</f>
        <v>-0.316</v>
      </c>
      <c r="AC46" s="271"/>
      <c r="AD46" s="271"/>
    </row>
    <row r="47" spans="3:30" x14ac:dyDescent="0.25">
      <c r="E47" s="28"/>
      <c r="F47" t="s">
        <v>157</v>
      </c>
      <c r="G47" s="13" t="s">
        <v>268</v>
      </c>
      <c r="H47" s="286"/>
      <c r="I47" s="271"/>
      <c r="J47" s="286">
        <f>Rounding!J132</f>
        <v>1.17</v>
      </c>
      <c r="K47" s="286">
        <f>Rounding!K132</f>
        <v>1.17</v>
      </c>
      <c r="L47" s="286">
        <f>Rounding!L132</f>
        <v>1.1739999999999999</v>
      </c>
      <c r="M47" s="286">
        <f>Rounding!M132</f>
        <v>1.1739999999999999</v>
      </c>
      <c r="N47" s="286">
        <f>Rounding!N132</f>
        <v>1.163</v>
      </c>
      <c r="O47" s="286">
        <f>Rounding!O132</f>
        <v>1.1539999999999999</v>
      </c>
      <c r="P47" s="286">
        <f>Rounding!P132</f>
        <v>1.151</v>
      </c>
      <c r="Q47" s="286">
        <f>Rounding!Q132</f>
        <v>1.6E-2</v>
      </c>
      <c r="R47" s="286">
        <f>Rounding!R132</f>
        <v>7.0000000000000001E-3</v>
      </c>
      <c r="S47" s="286">
        <f>Rounding!S132</f>
        <v>4.0000000000000001E-3</v>
      </c>
      <c r="T47" s="286">
        <f>Rounding!T132</f>
        <v>1.5960000000000001</v>
      </c>
      <c r="U47" s="286">
        <f>Rounding!U132</f>
        <v>-1.6E-2</v>
      </c>
      <c r="V47" s="286">
        <f>Rounding!V132</f>
        <v>-1.4E-2</v>
      </c>
      <c r="W47" s="286">
        <f>Rounding!W132</f>
        <v>-1.6E-2</v>
      </c>
      <c r="X47" s="286">
        <f>Rounding!X132</f>
        <v>-1.6E-2</v>
      </c>
      <c r="Y47" s="286">
        <f>Rounding!Y132</f>
        <v>-1.4E-2</v>
      </c>
      <c r="Z47" s="286">
        <f>Rounding!Z132</f>
        <v>-1.4E-2</v>
      </c>
      <c r="AA47" s="286">
        <f>Rounding!AA132</f>
        <v>-6.0000000000000001E-3</v>
      </c>
      <c r="AB47" s="286">
        <f>Rounding!AB132</f>
        <v>-6.0000000000000001E-3</v>
      </c>
      <c r="AC47" s="271"/>
      <c r="AD47" s="271"/>
    </row>
    <row r="48" spans="3:30" x14ac:dyDescent="0.25">
      <c r="E48" s="28"/>
      <c r="F48" t="s">
        <v>158</v>
      </c>
      <c r="G48" s="13" t="s">
        <v>269</v>
      </c>
      <c r="H48" s="51"/>
      <c r="J48" s="120">
        <f>Rounding!J133</f>
        <v>4.76</v>
      </c>
      <c r="K48" s="120">
        <f>Rounding!K133</f>
        <v>0</v>
      </c>
      <c r="L48" s="120">
        <f>Rounding!L133</f>
        <v>6.04</v>
      </c>
      <c r="M48" s="120">
        <f>Rounding!M133</f>
        <v>0</v>
      </c>
      <c r="N48" s="120">
        <f>Rounding!N133</f>
        <v>23.42</v>
      </c>
      <c r="O48" s="120">
        <f>Rounding!O133</f>
        <v>8.39</v>
      </c>
      <c r="P48" s="120">
        <f>Rounding!P133</f>
        <v>124.35</v>
      </c>
      <c r="Q48" s="120">
        <f>Rounding!Q133</f>
        <v>23.42</v>
      </c>
      <c r="R48" s="120">
        <f>Rounding!R133</f>
        <v>8.39</v>
      </c>
      <c r="S48" s="120">
        <f>Rounding!S133</f>
        <v>124.35</v>
      </c>
      <c r="T48" s="120">
        <f>Rounding!T133</f>
        <v>0</v>
      </c>
      <c r="U48" s="120">
        <f>Rounding!U133</f>
        <v>0</v>
      </c>
      <c r="V48" s="120">
        <f>Rounding!V133</f>
        <v>0</v>
      </c>
      <c r="W48" s="120">
        <f>Rounding!W133</f>
        <v>0</v>
      </c>
      <c r="X48" s="120">
        <f>Rounding!X133</f>
        <v>0</v>
      </c>
      <c r="Y48" s="120">
        <f>Rounding!Y133</f>
        <v>0</v>
      </c>
      <c r="Z48" s="120">
        <f>Rounding!Z133</f>
        <v>0</v>
      </c>
      <c r="AA48" s="120">
        <f>Rounding!AA133</f>
        <v>90.67</v>
      </c>
      <c r="AB48" s="120">
        <f>Rounding!AB133</f>
        <v>90.67</v>
      </c>
    </row>
    <row r="49" spans="3:30" x14ac:dyDescent="0.25">
      <c r="E49" s="28"/>
      <c r="F49" t="s">
        <v>159</v>
      </c>
      <c r="G49" s="13" t="s">
        <v>270</v>
      </c>
      <c r="H49" s="51"/>
      <c r="J49" s="120">
        <f>Rounding!J134</f>
        <v>0</v>
      </c>
      <c r="K49" s="120">
        <f>Rounding!K134</f>
        <v>0</v>
      </c>
      <c r="L49" s="120">
        <f>Rounding!L134</f>
        <v>0</v>
      </c>
      <c r="M49" s="120">
        <f>Rounding!M134</f>
        <v>0</v>
      </c>
      <c r="N49" s="120">
        <f>Rounding!N134</f>
        <v>2.5</v>
      </c>
      <c r="O49" s="120">
        <f>Rounding!O134</f>
        <v>4.51</v>
      </c>
      <c r="P49" s="120">
        <f>Rounding!P134</f>
        <v>4.96</v>
      </c>
      <c r="Q49" s="120">
        <f>Rounding!Q134</f>
        <v>2.5</v>
      </c>
      <c r="R49" s="120">
        <f>Rounding!R134</f>
        <v>4.51</v>
      </c>
      <c r="S49" s="120">
        <f>Rounding!S134</f>
        <v>4.96</v>
      </c>
      <c r="T49" s="120">
        <f>Rounding!T134</f>
        <v>0</v>
      </c>
      <c r="U49" s="120">
        <f>Rounding!U134</f>
        <v>0</v>
      </c>
      <c r="V49" s="120">
        <f>Rounding!V134</f>
        <v>0</v>
      </c>
      <c r="W49" s="120">
        <f>Rounding!W134</f>
        <v>0</v>
      </c>
      <c r="X49" s="120">
        <f>Rounding!X134</f>
        <v>0</v>
      </c>
      <c r="Y49" s="120">
        <f>Rounding!Y134</f>
        <v>0</v>
      </c>
      <c r="Z49" s="120">
        <f>Rounding!Z134</f>
        <v>0</v>
      </c>
      <c r="AA49" s="120">
        <f>Rounding!AA134</f>
        <v>0</v>
      </c>
      <c r="AB49" s="120">
        <f>Rounding!AB134</f>
        <v>0</v>
      </c>
    </row>
    <row r="50" spans="3:30" x14ac:dyDescent="0.25">
      <c r="E50" s="28"/>
      <c r="F50" t="s">
        <v>160</v>
      </c>
      <c r="G50" s="13" t="s">
        <v>270</v>
      </c>
      <c r="H50" s="51"/>
      <c r="J50" s="120">
        <f>Rounding!J135</f>
        <v>0</v>
      </c>
      <c r="K50" s="120">
        <f>Rounding!K135</f>
        <v>0</v>
      </c>
      <c r="L50" s="120">
        <f>Rounding!L135</f>
        <v>0</v>
      </c>
      <c r="M50" s="120">
        <f>Rounding!M135</f>
        <v>0</v>
      </c>
      <c r="N50" s="120">
        <f>Rounding!N135</f>
        <v>3.69</v>
      </c>
      <c r="O50" s="120">
        <f>Rounding!O135</f>
        <v>5.14</v>
      </c>
      <c r="P50" s="120">
        <f>Rounding!P135</f>
        <v>6.12</v>
      </c>
      <c r="Q50" s="120">
        <f>Rounding!Q135</f>
        <v>3.69</v>
      </c>
      <c r="R50" s="120">
        <f>Rounding!R135</f>
        <v>5.14</v>
      </c>
      <c r="S50" s="120">
        <f>Rounding!S135</f>
        <v>6.12</v>
      </c>
      <c r="T50" s="120">
        <f>Rounding!T135</f>
        <v>0</v>
      </c>
      <c r="U50" s="120">
        <f>Rounding!U135</f>
        <v>0</v>
      </c>
      <c r="V50" s="120">
        <f>Rounding!V135</f>
        <v>0</v>
      </c>
      <c r="W50" s="120">
        <f>Rounding!W135</f>
        <v>0</v>
      </c>
      <c r="X50" s="120">
        <f>Rounding!X135</f>
        <v>0</v>
      </c>
      <c r="Y50" s="120">
        <f>Rounding!Y135</f>
        <v>0</v>
      </c>
      <c r="Z50" s="120">
        <f>Rounding!Z135</f>
        <v>0</v>
      </c>
      <c r="AA50" s="120">
        <f>Rounding!AA135</f>
        <v>0</v>
      </c>
      <c r="AB50" s="120">
        <f>Rounding!AB135</f>
        <v>0</v>
      </c>
    </row>
    <row r="51" spans="3:30" x14ac:dyDescent="0.25">
      <c r="E51" s="28"/>
      <c r="F51" s="37" t="s">
        <v>161</v>
      </c>
      <c r="G51" s="86" t="s">
        <v>271</v>
      </c>
      <c r="H51" s="290"/>
      <c r="I51" s="275"/>
      <c r="J51" s="290">
        <f>Rounding!J136</f>
        <v>0</v>
      </c>
      <c r="K51" s="290">
        <f>Rounding!K136</f>
        <v>0</v>
      </c>
      <c r="L51" s="290">
        <f>Rounding!L136</f>
        <v>0</v>
      </c>
      <c r="M51" s="290">
        <f>Rounding!M136</f>
        <v>0</v>
      </c>
      <c r="N51" s="290">
        <f>Rounding!N136</f>
        <v>0.23499999999999999</v>
      </c>
      <c r="O51" s="290">
        <f>Rounding!O136</f>
        <v>0.13700000000000001</v>
      </c>
      <c r="P51" s="290">
        <f>Rounding!P136</f>
        <v>0.10199999999999999</v>
      </c>
      <c r="Q51" s="290">
        <f>Rounding!Q136</f>
        <v>0.23499999999999999</v>
      </c>
      <c r="R51" s="290">
        <f>Rounding!R136</f>
        <v>0.13700000000000001</v>
      </c>
      <c r="S51" s="290">
        <f>Rounding!S136</f>
        <v>0.10199999999999999</v>
      </c>
      <c r="T51" s="290">
        <f>Rounding!T136</f>
        <v>0</v>
      </c>
      <c r="U51" s="290">
        <f>Rounding!U136</f>
        <v>0</v>
      </c>
      <c r="V51" s="290">
        <f>Rounding!V136</f>
        <v>0</v>
      </c>
      <c r="W51" s="290">
        <f>Rounding!W136</f>
        <v>0.20300000000000001</v>
      </c>
      <c r="X51" s="290">
        <f>Rounding!X136</f>
        <v>0</v>
      </c>
      <c r="Y51" s="290">
        <f>Rounding!Y136</f>
        <v>0.182</v>
      </c>
      <c r="Z51" s="290">
        <f>Rounding!Z136</f>
        <v>0</v>
      </c>
      <c r="AA51" s="290">
        <f>Rounding!AA136</f>
        <v>0.156</v>
      </c>
      <c r="AB51" s="290">
        <f>Rounding!AB136</f>
        <v>0</v>
      </c>
      <c r="AC51" s="271"/>
      <c r="AD51" s="271"/>
    </row>
    <row r="52" spans="3:30" x14ac:dyDescent="0.25">
      <c r="E52" s="28"/>
      <c r="G52" s="13"/>
      <c r="J52" s="89"/>
      <c r="K52" s="89"/>
      <c r="L52" s="89"/>
      <c r="M52" s="89"/>
      <c r="N52" s="89"/>
      <c r="O52" s="89"/>
      <c r="P52" s="89"/>
      <c r="Q52" s="89"/>
      <c r="R52" s="89"/>
      <c r="S52" s="89"/>
      <c r="T52" s="89"/>
      <c r="U52" s="89"/>
      <c r="V52" s="89"/>
      <c r="W52" s="89"/>
      <c r="X52" s="89"/>
      <c r="Y52" s="89"/>
      <c r="Z52" s="89"/>
      <c r="AA52" s="89"/>
      <c r="AB52" s="89"/>
    </row>
    <row r="53" spans="3:30" x14ac:dyDescent="0.25">
      <c r="E53" s="32" t="s">
        <v>824</v>
      </c>
      <c r="G53" s="13"/>
      <c r="I53" t="s">
        <v>153</v>
      </c>
      <c r="J53" s="82"/>
      <c r="K53" s="82"/>
      <c r="L53" s="82"/>
      <c r="M53" s="82"/>
      <c r="N53" s="82"/>
      <c r="O53" s="82"/>
      <c r="P53" s="82"/>
      <c r="Q53" s="82"/>
      <c r="R53" s="82"/>
      <c r="S53" s="82"/>
      <c r="T53" s="82"/>
      <c r="U53" s="82"/>
      <c r="V53" s="82"/>
      <c r="W53" s="82"/>
      <c r="X53" s="82"/>
      <c r="Y53" s="82"/>
      <c r="Z53" s="82"/>
      <c r="AA53" s="82"/>
      <c r="AB53" s="82"/>
      <c r="AD53" t="s">
        <v>154</v>
      </c>
    </row>
    <row r="54" spans="3:30" x14ac:dyDescent="0.25">
      <c r="F54" s="23" t="s">
        <v>155</v>
      </c>
      <c r="G54" s="85" t="s">
        <v>268</v>
      </c>
      <c r="H54" s="285"/>
      <c r="I54" s="269"/>
      <c r="J54" s="285">
        <f>Rounding!J139</f>
        <v>6.1879999999999997</v>
      </c>
      <c r="K54" s="285">
        <f>Rounding!K139</f>
        <v>6.1879999999999997</v>
      </c>
      <c r="L54" s="285">
        <f>Rounding!L139</f>
        <v>7.0739999999999998</v>
      </c>
      <c r="M54" s="285">
        <f>Rounding!M139</f>
        <v>7.0739999999999998</v>
      </c>
      <c r="N54" s="285">
        <f>Rounding!N139</f>
        <v>4.9850000000000003</v>
      </c>
      <c r="O54" s="285">
        <f>Rounding!O139</f>
        <v>0</v>
      </c>
      <c r="P54" s="285">
        <f>Rounding!P139</f>
        <v>0</v>
      </c>
      <c r="Q54" s="285">
        <f>Rounding!Q139</f>
        <v>4.2859999999999996</v>
      </c>
      <c r="R54" s="285">
        <f>Rounding!R139</f>
        <v>0</v>
      </c>
      <c r="S54" s="285">
        <f>Rounding!S139</f>
        <v>0</v>
      </c>
      <c r="T54" s="285">
        <f>Rounding!T139</f>
        <v>13.849</v>
      </c>
      <c r="U54" s="285">
        <f>Rounding!U139</f>
        <v>-6.4409999999999998</v>
      </c>
      <c r="V54" s="285">
        <f>Rounding!V139</f>
        <v>0</v>
      </c>
      <c r="W54" s="285">
        <f>Rounding!W139</f>
        <v>-6.4409999999999998</v>
      </c>
      <c r="X54" s="285">
        <f>Rounding!X139</f>
        <v>0</v>
      </c>
      <c r="Y54" s="285">
        <f>Rounding!Y139</f>
        <v>0</v>
      </c>
      <c r="Z54" s="285">
        <f>Rounding!Z139</f>
        <v>0</v>
      </c>
      <c r="AA54" s="285">
        <f>Rounding!AA139</f>
        <v>0</v>
      </c>
      <c r="AB54" s="285">
        <f>Rounding!AB139</f>
        <v>0</v>
      </c>
      <c r="AC54" s="271"/>
      <c r="AD54" s="271"/>
    </row>
    <row r="55" spans="3:30" x14ac:dyDescent="0.25">
      <c r="E55" s="28"/>
      <c r="F55" t="s">
        <v>156</v>
      </c>
      <c r="G55" s="13" t="s">
        <v>268</v>
      </c>
      <c r="H55" s="286"/>
      <c r="I55" s="271"/>
      <c r="J55" s="286">
        <f>Rounding!J140</f>
        <v>1.2370000000000001</v>
      </c>
      <c r="K55" s="286">
        <f>Rounding!K140</f>
        <v>1.2370000000000001</v>
      </c>
      <c r="L55" s="286">
        <f>Rounding!L140</f>
        <v>1.3240000000000001</v>
      </c>
      <c r="M55" s="286">
        <f>Rounding!M140</f>
        <v>1.3240000000000001</v>
      </c>
      <c r="N55" s="286">
        <f>Rounding!N140</f>
        <v>1.105</v>
      </c>
      <c r="O55" s="286">
        <f>Rounding!O140</f>
        <v>0</v>
      </c>
      <c r="P55" s="286">
        <f>Rounding!P140</f>
        <v>0</v>
      </c>
      <c r="Q55" s="286">
        <f>Rounding!Q140</f>
        <v>0.40600000000000003</v>
      </c>
      <c r="R55" s="286">
        <f>Rounding!R140</f>
        <v>0</v>
      </c>
      <c r="S55" s="286">
        <f>Rounding!S140</f>
        <v>0</v>
      </c>
      <c r="T55" s="286">
        <f>Rounding!T140</f>
        <v>1.427</v>
      </c>
      <c r="U55" s="286">
        <f>Rounding!U140</f>
        <v>-0.63100000000000001</v>
      </c>
      <c r="V55" s="286">
        <f>Rounding!V140</f>
        <v>0</v>
      </c>
      <c r="W55" s="286">
        <f>Rounding!W140</f>
        <v>-0.63100000000000001</v>
      </c>
      <c r="X55" s="286">
        <f>Rounding!X140</f>
        <v>0</v>
      </c>
      <c r="Y55" s="286">
        <f>Rounding!Y140</f>
        <v>0</v>
      </c>
      <c r="Z55" s="286">
        <f>Rounding!Z140</f>
        <v>0</v>
      </c>
      <c r="AA55" s="286">
        <f>Rounding!AA140</f>
        <v>0</v>
      </c>
      <c r="AB55" s="286">
        <f>Rounding!AB140</f>
        <v>0</v>
      </c>
      <c r="AC55" s="271"/>
      <c r="AD55" s="271"/>
    </row>
    <row r="56" spans="3:30" x14ac:dyDescent="0.25">
      <c r="E56" s="28"/>
      <c r="F56" t="s">
        <v>157</v>
      </c>
      <c r="G56" s="13" t="s">
        <v>268</v>
      </c>
      <c r="H56" s="286"/>
      <c r="I56" s="271"/>
      <c r="J56" s="286">
        <f>Rounding!J141</f>
        <v>0.71299999999999997</v>
      </c>
      <c r="K56" s="286">
        <f>Rounding!K141</f>
        <v>0.71299999999999997</v>
      </c>
      <c r="L56" s="286">
        <f>Rounding!L141</f>
        <v>0.71499999999999997</v>
      </c>
      <c r="M56" s="286">
        <f>Rounding!M141</f>
        <v>0.71499999999999997</v>
      </c>
      <c r="N56" s="286">
        <f>Rounding!N141</f>
        <v>0.70899999999999996</v>
      </c>
      <c r="O56" s="286">
        <f>Rounding!O141</f>
        <v>0</v>
      </c>
      <c r="P56" s="286">
        <f>Rounding!P141</f>
        <v>0</v>
      </c>
      <c r="Q56" s="286">
        <f>Rounding!Q141</f>
        <v>0.01</v>
      </c>
      <c r="R56" s="286">
        <f>Rounding!R141</f>
        <v>0</v>
      </c>
      <c r="S56" s="286">
        <f>Rounding!S141</f>
        <v>0</v>
      </c>
      <c r="T56" s="286">
        <f>Rounding!T141</f>
        <v>0.97299999999999998</v>
      </c>
      <c r="U56" s="286">
        <f>Rounding!U141</f>
        <v>-1.6E-2</v>
      </c>
      <c r="V56" s="286">
        <f>Rounding!V141</f>
        <v>0</v>
      </c>
      <c r="W56" s="286">
        <f>Rounding!W141</f>
        <v>-1.6E-2</v>
      </c>
      <c r="X56" s="286">
        <f>Rounding!X141</f>
        <v>0</v>
      </c>
      <c r="Y56" s="286">
        <f>Rounding!Y141</f>
        <v>0</v>
      </c>
      <c r="Z56" s="286">
        <f>Rounding!Z141</f>
        <v>0</v>
      </c>
      <c r="AA56" s="286">
        <f>Rounding!AA141</f>
        <v>0</v>
      </c>
      <c r="AB56" s="286">
        <f>Rounding!AB141</f>
        <v>0</v>
      </c>
      <c r="AC56" s="271"/>
      <c r="AD56" s="271"/>
    </row>
    <row r="57" spans="3:30" x14ac:dyDescent="0.25">
      <c r="E57" s="28"/>
      <c r="F57" t="s">
        <v>158</v>
      </c>
      <c r="G57" s="13" t="s">
        <v>269</v>
      </c>
      <c r="H57" s="51"/>
      <c r="J57" s="120">
        <f>Rounding!J142</f>
        <v>2.98</v>
      </c>
      <c r="K57" s="120">
        <f>Rounding!K142</f>
        <v>0</v>
      </c>
      <c r="L57" s="120">
        <f>Rounding!L142</f>
        <v>3.75</v>
      </c>
      <c r="M57" s="120">
        <f>Rounding!M142</f>
        <v>0</v>
      </c>
      <c r="N57" s="120">
        <f>Rounding!N142</f>
        <v>14.34</v>
      </c>
      <c r="O57" s="120">
        <f>Rounding!O142</f>
        <v>0</v>
      </c>
      <c r="P57" s="120">
        <f>Rounding!P142</f>
        <v>0</v>
      </c>
      <c r="Q57" s="120">
        <f>Rounding!Q142</f>
        <v>14.34</v>
      </c>
      <c r="R57" s="120">
        <f>Rounding!R142</f>
        <v>0</v>
      </c>
      <c r="S57" s="120">
        <f>Rounding!S142</f>
        <v>0</v>
      </c>
      <c r="T57" s="120">
        <f>Rounding!T142</f>
        <v>0</v>
      </c>
      <c r="U57" s="120">
        <f>Rounding!U142</f>
        <v>0</v>
      </c>
      <c r="V57" s="120">
        <f>Rounding!V142</f>
        <v>0</v>
      </c>
      <c r="W57" s="120">
        <f>Rounding!W142</f>
        <v>0</v>
      </c>
      <c r="X57" s="120">
        <f>Rounding!X142</f>
        <v>0</v>
      </c>
      <c r="Y57" s="120">
        <f>Rounding!Y142</f>
        <v>0</v>
      </c>
      <c r="Z57" s="120">
        <f>Rounding!Z142</f>
        <v>0</v>
      </c>
      <c r="AA57" s="120">
        <f>Rounding!AA142</f>
        <v>0</v>
      </c>
      <c r="AB57" s="120">
        <f>Rounding!AB142</f>
        <v>0</v>
      </c>
    </row>
    <row r="58" spans="3:30" x14ac:dyDescent="0.25">
      <c r="E58" s="28"/>
      <c r="F58" t="s">
        <v>159</v>
      </c>
      <c r="G58" s="13" t="s">
        <v>270</v>
      </c>
      <c r="H58" s="51"/>
      <c r="J58" s="120">
        <f>Rounding!J143</f>
        <v>0</v>
      </c>
      <c r="K58" s="120">
        <f>Rounding!K143</f>
        <v>0</v>
      </c>
      <c r="L58" s="120">
        <f>Rounding!L143</f>
        <v>0</v>
      </c>
      <c r="M58" s="120">
        <f>Rounding!M143</f>
        <v>0</v>
      </c>
      <c r="N58" s="120">
        <f>Rounding!N143</f>
        <v>1.52</v>
      </c>
      <c r="O58" s="120">
        <f>Rounding!O143</f>
        <v>0</v>
      </c>
      <c r="P58" s="120">
        <f>Rounding!P143</f>
        <v>0</v>
      </c>
      <c r="Q58" s="120">
        <f>Rounding!Q143</f>
        <v>1.52</v>
      </c>
      <c r="R58" s="120">
        <f>Rounding!R143</f>
        <v>0</v>
      </c>
      <c r="S58" s="120">
        <f>Rounding!S143</f>
        <v>0</v>
      </c>
      <c r="T58" s="120">
        <f>Rounding!T143</f>
        <v>0</v>
      </c>
      <c r="U58" s="120">
        <f>Rounding!U143</f>
        <v>0</v>
      </c>
      <c r="V58" s="120">
        <f>Rounding!V143</f>
        <v>0</v>
      </c>
      <c r="W58" s="120">
        <f>Rounding!W143</f>
        <v>0</v>
      </c>
      <c r="X58" s="120">
        <f>Rounding!X143</f>
        <v>0</v>
      </c>
      <c r="Y58" s="120">
        <f>Rounding!Y143</f>
        <v>0</v>
      </c>
      <c r="Z58" s="120">
        <f>Rounding!Z143</f>
        <v>0</v>
      </c>
      <c r="AA58" s="120">
        <f>Rounding!AA143</f>
        <v>0</v>
      </c>
      <c r="AB58" s="120">
        <f>Rounding!AB143</f>
        <v>0</v>
      </c>
    </row>
    <row r="59" spans="3:30" x14ac:dyDescent="0.25">
      <c r="E59" s="28"/>
      <c r="F59" t="s">
        <v>160</v>
      </c>
      <c r="G59" s="13" t="s">
        <v>270</v>
      </c>
      <c r="H59" s="51"/>
      <c r="J59" s="120">
        <f>Rounding!J144</f>
        <v>0</v>
      </c>
      <c r="K59" s="120">
        <f>Rounding!K144</f>
        <v>0</v>
      </c>
      <c r="L59" s="120">
        <f>Rounding!L144</f>
        <v>0</v>
      </c>
      <c r="M59" s="120">
        <f>Rounding!M144</f>
        <v>0</v>
      </c>
      <c r="N59" s="120">
        <f>Rounding!N144</f>
        <v>2.25</v>
      </c>
      <c r="O59" s="120">
        <f>Rounding!O144</f>
        <v>0</v>
      </c>
      <c r="P59" s="120">
        <f>Rounding!P144</f>
        <v>0</v>
      </c>
      <c r="Q59" s="120">
        <f>Rounding!Q144</f>
        <v>2.25</v>
      </c>
      <c r="R59" s="120">
        <f>Rounding!R144</f>
        <v>0</v>
      </c>
      <c r="S59" s="120">
        <f>Rounding!S144</f>
        <v>0</v>
      </c>
      <c r="T59" s="120">
        <f>Rounding!T144</f>
        <v>0</v>
      </c>
      <c r="U59" s="120">
        <f>Rounding!U144</f>
        <v>0</v>
      </c>
      <c r="V59" s="120">
        <f>Rounding!V144</f>
        <v>0</v>
      </c>
      <c r="W59" s="120">
        <f>Rounding!W144</f>
        <v>0</v>
      </c>
      <c r="X59" s="120">
        <f>Rounding!X144</f>
        <v>0</v>
      </c>
      <c r="Y59" s="120">
        <f>Rounding!Y144</f>
        <v>0</v>
      </c>
      <c r="Z59" s="120">
        <f>Rounding!Z144</f>
        <v>0</v>
      </c>
      <c r="AA59" s="120">
        <f>Rounding!AA144</f>
        <v>0</v>
      </c>
      <c r="AB59" s="120">
        <f>Rounding!AB144</f>
        <v>0</v>
      </c>
    </row>
    <row r="60" spans="3:30" x14ac:dyDescent="0.25">
      <c r="E60" s="28"/>
      <c r="F60" s="37" t="s">
        <v>161</v>
      </c>
      <c r="G60" s="86" t="s">
        <v>271</v>
      </c>
      <c r="H60" s="290"/>
      <c r="I60" s="275"/>
      <c r="J60" s="290">
        <f>Rounding!J145</f>
        <v>0</v>
      </c>
      <c r="K60" s="290">
        <f>Rounding!K145</f>
        <v>0</v>
      </c>
      <c r="L60" s="290">
        <f>Rounding!L145</f>
        <v>0</v>
      </c>
      <c r="M60" s="290">
        <f>Rounding!M145</f>
        <v>0</v>
      </c>
      <c r="N60" s="290">
        <f>Rounding!N145</f>
        <v>0.14299999999999999</v>
      </c>
      <c r="O60" s="290">
        <f>Rounding!O145</f>
        <v>0</v>
      </c>
      <c r="P60" s="290">
        <f>Rounding!P145</f>
        <v>0</v>
      </c>
      <c r="Q60" s="290">
        <f>Rounding!Q145</f>
        <v>0.14299999999999999</v>
      </c>
      <c r="R60" s="290">
        <f>Rounding!R145</f>
        <v>0</v>
      </c>
      <c r="S60" s="290">
        <f>Rounding!S145</f>
        <v>0</v>
      </c>
      <c r="T60" s="290">
        <f>Rounding!T145</f>
        <v>0</v>
      </c>
      <c r="U60" s="290">
        <f>Rounding!U145</f>
        <v>0</v>
      </c>
      <c r="V60" s="290">
        <f>Rounding!V145</f>
        <v>0</v>
      </c>
      <c r="W60" s="290">
        <f>Rounding!W145</f>
        <v>0.20300000000000001</v>
      </c>
      <c r="X60" s="290">
        <f>Rounding!X145</f>
        <v>0</v>
      </c>
      <c r="Y60" s="290">
        <f>Rounding!Y145</f>
        <v>0</v>
      </c>
      <c r="Z60" s="290">
        <f>Rounding!Z145</f>
        <v>0</v>
      </c>
      <c r="AA60" s="290">
        <f>Rounding!AA145</f>
        <v>0</v>
      </c>
      <c r="AB60" s="290">
        <f>Rounding!AB145</f>
        <v>0</v>
      </c>
      <c r="AC60" s="271"/>
      <c r="AD60" s="271"/>
    </row>
    <row r="61" spans="3:30" x14ac:dyDescent="0.25">
      <c r="E61" s="28"/>
      <c r="G61" s="13"/>
      <c r="J61" s="89"/>
      <c r="K61" s="89"/>
      <c r="L61" s="89"/>
      <c r="M61" s="89"/>
      <c r="N61" s="89"/>
      <c r="O61" s="89"/>
      <c r="P61" s="89"/>
      <c r="Q61" s="89"/>
      <c r="R61" s="89"/>
      <c r="S61" s="89"/>
      <c r="T61" s="89"/>
      <c r="U61" s="89"/>
      <c r="V61" s="89"/>
      <c r="W61" s="89"/>
      <c r="X61" s="89"/>
      <c r="Y61" s="89"/>
      <c r="Z61" s="89"/>
      <c r="AA61" s="89"/>
      <c r="AB61" s="89"/>
    </row>
    <row r="62" spans="3:30" x14ac:dyDescent="0.25">
      <c r="E62" s="32" t="s">
        <v>825</v>
      </c>
      <c r="G62" s="13"/>
      <c r="I62" t="s">
        <v>153</v>
      </c>
      <c r="J62" s="82"/>
      <c r="K62" s="82"/>
      <c r="L62" s="82"/>
      <c r="M62" s="82"/>
      <c r="N62" s="82"/>
      <c r="O62" s="82"/>
      <c r="P62" s="82"/>
      <c r="Q62" s="82"/>
      <c r="R62" s="82"/>
      <c r="S62" s="82"/>
      <c r="T62" s="82"/>
      <c r="U62" s="82"/>
      <c r="V62" s="82"/>
      <c r="W62" s="82"/>
      <c r="X62" s="82"/>
      <c r="Y62" s="82"/>
      <c r="Z62" s="82"/>
      <c r="AA62" s="82"/>
      <c r="AB62" s="82"/>
      <c r="AD62" t="s">
        <v>154</v>
      </c>
    </row>
    <row r="63" spans="3:30" x14ac:dyDescent="0.25">
      <c r="C63" s="88"/>
      <c r="F63" s="23" t="s">
        <v>155</v>
      </c>
      <c r="G63" s="85" t="s">
        <v>268</v>
      </c>
      <c r="H63" s="285"/>
      <c r="I63" s="269"/>
      <c r="J63" s="285">
        <f>Rounding!J148</f>
        <v>4.0250000000000004</v>
      </c>
      <c r="K63" s="285">
        <f>Rounding!K148</f>
        <v>4.0250000000000004</v>
      </c>
      <c r="L63" s="285">
        <f>Rounding!L148</f>
        <v>4.6020000000000003</v>
      </c>
      <c r="M63" s="285">
        <f>Rounding!M148</f>
        <v>4.6020000000000003</v>
      </c>
      <c r="N63" s="285">
        <f>Rounding!N148</f>
        <v>3.2429999999999999</v>
      </c>
      <c r="O63" s="285">
        <f>Rounding!O148</f>
        <v>3.4609999999999999</v>
      </c>
      <c r="P63" s="285">
        <f>Rounding!P148</f>
        <v>3.218</v>
      </c>
      <c r="Q63" s="285">
        <f>Rounding!Q148</f>
        <v>2.7879999999999998</v>
      </c>
      <c r="R63" s="285">
        <f>Rounding!R148</f>
        <v>2.7130000000000001</v>
      </c>
      <c r="S63" s="285">
        <f>Rounding!S148</f>
        <v>2.36</v>
      </c>
      <c r="T63" s="285">
        <f>Rounding!T148</f>
        <v>9.0090000000000003</v>
      </c>
      <c r="U63" s="285">
        <f>Rounding!U148</f>
        <v>-6.4409999999999998</v>
      </c>
      <c r="V63" s="285">
        <f>Rounding!V148</f>
        <v>-5.6890000000000001</v>
      </c>
      <c r="W63" s="285">
        <f>Rounding!W148</f>
        <v>-6.4409999999999998</v>
      </c>
      <c r="X63" s="285">
        <f>Rounding!X148</f>
        <v>0</v>
      </c>
      <c r="Y63" s="285">
        <f>Rounding!Y148</f>
        <v>-5.6890000000000001</v>
      </c>
      <c r="Z63" s="285">
        <f>Rounding!Z148</f>
        <v>0</v>
      </c>
      <c r="AA63" s="285">
        <f>Rounding!AA148</f>
        <v>-3.7330000000000001</v>
      </c>
      <c r="AB63" s="285">
        <f>Rounding!AB148</f>
        <v>0</v>
      </c>
      <c r="AC63" s="271"/>
      <c r="AD63" s="271"/>
    </row>
    <row r="64" spans="3:30" x14ac:dyDescent="0.25">
      <c r="C64" s="88"/>
      <c r="F64" t="s">
        <v>156</v>
      </c>
      <c r="G64" s="13" t="s">
        <v>268</v>
      </c>
      <c r="H64" s="286"/>
      <c r="I64" s="271"/>
      <c r="J64" s="286">
        <f>Rounding!J149</f>
        <v>0.80500000000000005</v>
      </c>
      <c r="K64" s="286">
        <f>Rounding!K149</f>
        <v>0.80500000000000005</v>
      </c>
      <c r="L64" s="286">
        <f>Rounding!L149</f>
        <v>0.86099999999999999</v>
      </c>
      <c r="M64" s="286">
        <f>Rounding!M149</f>
        <v>0.86099999999999999</v>
      </c>
      <c r="N64" s="286">
        <f>Rounding!N149</f>
        <v>0.71899999999999997</v>
      </c>
      <c r="O64" s="286">
        <f>Rounding!O149</f>
        <v>0.97799999999999998</v>
      </c>
      <c r="P64" s="286">
        <f>Rounding!P149</f>
        <v>1.0469999999999999</v>
      </c>
      <c r="Q64" s="286">
        <f>Rounding!Q149</f>
        <v>0.26400000000000001</v>
      </c>
      <c r="R64" s="286">
        <f>Rounding!R149</f>
        <v>0.23100000000000001</v>
      </c>
      <c r="S64" s="286">
        <f>Rounding!S149</f>
        <v>0.189</v>
      </c>
      <c r="T64" s="286">
        <f>Rounding!T149</f>
        <v>0.92800000000000005</v>
      </c>
      <c r="U64" s="286">
        <f>Rounding!U149</f>
        <v>-0.63100000000000001</v>
      </c>
      <c r="V64" s="286">
        <f>Rounding!V149</f>
        <v>-0.54800000000000004</v>
      </c>
      <c r="W64" s="286">
        <f>Rounding!W149</f>
        <v>-0.63100000000000001</v>
      </c>
      <c r="X64" s="286">
        <f>Rounding!X149</f>
        <v>0</v>
      </c>
      <c r="Y64" s="286">
        <f>Rounding!Y149</f>
        <v>-0.54800000000000004</v>
      </c>
      <c r="Z64" s="286">
        <f>Rounding!Z149</f>
        <v>0</v>
      </c>
      <c r="AA64" s="286">
        <f>Rounding!AA149</f>
        <v>-0.316</v>
      </c>
      <c r="AB64" s="286">
        <f>Rounding!AB149</f>
        <v>0</v>
      </c>
      <c r="AC64" s="271"/>
      <c r="AD64" s="271"/>
    </row>
    <row r="65" spans="2:30" x14ac:dyDescent="0.25">
      <c r="C65" s="88"/>
      <c r="F65" t="s">
        <v>157</v>
      </c>
      <c r="G65" s="13" t="s">
        <v>268</v>
      </c>
      <c r="H65" s="286"/>
      <c r="I65" s="271"/>
      <c r="J65" s="286">
        <f>Rounding!J150</f>
        <v>0.46400000000000002</v>
      </c>
      <c r="K65" s="286">
        <f>Rounding!K150</f>
        <v>0.46400000000000002</v>
      </c>
      <c r="L65" s="286">
        <f>Rounding!L150</f>
        <v>0.46500000000000002</v>
      </c>
      <c r="M65" s="286">
        <f>Rounding!M150</f>
        <v>0.46500000000000002</v>
      </c>
      <c r="N65" s="286">
        <f>Rounding!N150</f>
        <v>0.46100000000000002</v>
      </c>
      <c r="O65" s="286">
        <f>Rounding!O150</f>
        <v>0.752</v>
      </c>
      <c r="P65" s="286">
        <f>Rounding!P150</f>
        <v>0.86099999999999999</v>
      </c>
      <c r="Q65" s="286">
        <f>Rounding!Q150</f>
        <v>6.0000000000000001E-3</v>
      </c>
      <c r="R65" s="286">
        <f>Rounding!R150</f>
        <v>4.0000000000000001E-3</v>
      </c>
      <c r="S65" s="286">
        <f>Rounding!S150</f>
        <v>3.0000000000000001E-3</v>
      </c>
      <c r="T65" s="286">
        <f>Rounding!T150</f>
        <v>0.63300000000000001</v>
      </c>
      <c r="U65" s="286">
        <f>Rounding!U150</f>
        <v>-1.6E-2</v>
      </c>
      <c r="V65" s="286">
        <f>Rounding!V150</f>
        <v>-1.4E-2</v>
      </c>
      <c r="W65" s="286">
        <f>Rounding!W150</f>
        <v>-1.6E-2</v>
      </c>
      <c r="X65" s="286">
        <f>Rounding!X150</f>
        <v>0</v>
      </c>
      <c r="Y65" s="286">
        <f>Rounding!Y150</f>
        <v>-1.4E-2</v>
      </c>
      <c r="Z65" s="286">
        <f>Rounding!Z150</f>
        <v>0</v>
      </c>
      <c r="AA65" s="286">
        <f>Rounding!AA150</f>
        <v>-6.0000000000000001E-3</v>
      </c>
      <c r="AB65" s="286">
        <f>Rounding!AB150</f>
        <v>0</v>
      </c>
      <c r="AC65" s="271"/>
      <c r="AD65" s="271"/>
    </row>
    <row r="66" spans="2:30" x14ac:dyDescent="0.25">
      <c r="C66" s="88"/>
      <c r="F66" t="s">
        <v>158</v>
      </c>
      <c r="G66" s="13" t="s">
        <v>269</v>
      </c>
      <c r="H66" s="51"/>
      <c r="J66" s="120">
        <f>Rounding!J151</f>
        <v>2</v>
      </c>
      <c r="K66" s="120">
        <f>Rounding!K151</f>
        <v>0</v>
      </c>
      <c r="L66" s="120">
        <f>Rounding!L151</f>
        <v>2.5</v>
      </c>
      <c r="M66" s="120">
        <f>Rounding!M151</f>
        <v>0</v>
      </c>
      <c r="N66" s="120">
        <f>Rounding!N151</f>
        <v>9.4</v>
      </c>
      <c r="O66" s="120">
        <f>Rounding!O151</f>
        <v>5.53</v>
      </c>
      <c r="P66" s="120">
        <f>Rounding!P151</f>
        <v>93.09</v>
      </c>
      <c r="Q66" s="120">
        <f>Rounding!Q151</f>
        <v>9.4</v>
      </c>
      <c r="R66" s="120">
        <f>Rounding!R151</f>
        <v>5.53</v>
      </c>
      <c r="S66" s="120">
        <f>Rounding!S151</f>
        <v>93.09</v>
      </c>
      <c r="T66" s="120">
        <f>Rounding!T151</f>
        <v>0</v>
      </c>
      <c r="U66" s="120">
        <f>Rounding!U151</f>
        <v>0</v>
      </c>
      <c r="V66" s="120">
        <f>Rounding!V151</f>
        <v>0</v>
      </c>
      <c r="W66" s="120">
        <f>Rounding!W151</f>
        <v>0</v>
      </c>
      <c r="X66" s="120">
        <f>Rounding!X151</f>
        <v>0</v>
      </c>
      <c r="Y66" s="120">
        <f>Rounding!Y151</f>
        <v>0</v>
      </c>
      <c r="Z66" s="120">
        <f>Rounding!Z151</f>
        <v>0</v>
      </c>
      <c r="AA66" s="120">
        <f>Rounding!AA151</f>
        <v>0</v>
      </c>
      <c r="AB66" s="120">
        <f>Rounding!AB151</f>
        <v>0</v>
      </c>
    </row>
    <row r="67" spans="2:30" x14ac:dyDescent="0.25">
      <c r="C67" s="88"/>
      <c r="F67" t="s">
        <v>159</v>
      </c>
      <c r="G67" s="13" t="s">
        <v>270</v>
      </c>
      <c r="H67" s="51"/>
      <c r="J67" s="120">
        <f>Rounding!J152</f>
        <v>0</v>
      </c>
      <c r="K67" s="120">
        <f>Rounding!K152</f>
        <v>0</v>
      </c>
      <c r="L67" s="120">
        <f>Rounding!L152</f>
        <v>0</v>
      </c>
      <c r="M67" s="120">
        <f>Rounding!M152</f>
        <v>0</v>
      </c>
      <c r="N67" s="120">
        <f>Rounding!N152</f>
        <v>0.99</v>
      </c>
      <c r="O67" s="120">
        <f>Rounding!O152</f>
        <v>2.94</v>
      </c>
      <c r="P67" s="120">
        <f>Rounding!P152</f>
        <v>3.71</v>
      </c>
      <c r="Q67" s="120">
        <f>Rounding!Q152</f>
        <v>0.99</v>
      </c>
      <c r="R67" s="120">
        <f>Rounding!R152</f>
        <v>2.94</v>
      </c>
      <c r="S67" s="120">
        <f>Rounding!S152</f>
        <v>3.71</v>
      </c>
      <c r="T67" s="120">
        <f>Rounding!T152</f>
        <v>0</v>
      </c>
      <c r="U67" s="120">
        <f>Rounding!U152</f>
        <v>0</v>
      </c>
      <c r="V67" s="120">
        <f>Rounding!V152</f>
        <v>0</v>
      </c>
      <c r="W67" s="120">
        <f>Rounding!W152</f>
        <v>0</v>
      </c>
      <c r="X67" s="120">
        <f>Rounding!X152</f>
        <v>0</v>
      </c>
      <c r="Y67" s="120">
        <f>Rounding!Y152</f>
        <v>0</v>
      </c>
      <c r="Z67" s="120">
        <f>Rounding!Z152</f>
        <v>0</v>
      </c>
      <c r="AA67" s="120">
        <f>Rounding!AA152</f>
        <v>0</v>
      </c>
      <c r="AB67" s="120">
        <f>Rounding!AB152</f>
        <v>0</v>
      </c>
    </row>
    <row r="68" spans="2:30" x14ac:dyDescent="0.25">
      <c r="C68" s="88"/>
      <c r="F68" t="s">
        <v>160</v>
      </c>
      <c r="G68" s="13" t="s">
        <v>270</v>
      </c>
      <c r="H68" s="51"/>
      <c r="J68" s="120">
        <f>Rounding!J153</f>
        <v>0</v>
      </c>
      <c r="K68" s="120">
        <f>Rounding!K153</f>
        <v>0</v>
      </c>
      <c r="L68" s="120">
        <f>Rounding!L153</f>
        <v>0</v>
      </c>
      <c r="M68" s="120">
        <f>Rounding!M153</f>
        <v>0</v>
      </c>
      <c r="N68" s="120">
        <f>Rounding!N153</f>
        <v>1.46</v>
      </c>
      <c r="O68" s="120">
        <f>Rounding!O153</f>
        <v>3.35</v>
      </c>
      <c r="P68" s="120">
        <f>Rounding!P153</f>
        <v>4.58</v>
      </c>
      <c r="Q68" s="120">
        <f>Rounding!Q153</f>
        <v>1.46</v>
      </c>
      <c r="R68" s="120">
        <f>Rounding!R153</f>
        <v>3.35</v>
      </c>
      <c r="S68" s="120">
        <f>Rounding!S153</f>
        <v>4.58</v>
      </c>
      <c r="T68" s="120">
        <f>Rounding!T153</f>
        <v>0</v>
      </c>
      <c r="U68" s="120">
        <f>Rounding!U153</f>
        <v>0</v>
      </c>
      <c r="V68" s="120">
        <f>Rounding!V153</f>
        <v>0</v>
      </c>
      <c r="W68" s="120">
        <f>Rounding!W153</f>
        <v>0</v>
      </c>
      <c r="X68" s="120">
        <f>Rounding!X153</f>
        <v>0</v>
      </c>
      <c r="Y68" s="120">
        <f>Rounding!Y153</f>
        <v>0</v>
      </c>
      <c r="Z68" s="120">
        <f>Rounding!Z153</f>
        <v>0</v>
      </c>
      <c r="AA68" s="120">
        <f>Rounding!AA153</f>
        <v>0</v>
      </c>
      <c r="AB68" s="120">
        <f>Rounding!AB153</f>
        <v>0</v>
      </c>
    </row>
    <row r="69" spans="2:30" x14ac:dyDescent="0.25">
      <c r="C69" s="88"/>
      <c r="F69" s="37" t="s">
        <v>161</v>
      </c>
      <c r="G69" s="86" t="s">
        <v>271</v>
      </c>
      <c r="H69" s="290"/>
      <c r="I69" s="275"/>
      <c r="J69" s="290">
        <f>Rounding!J154</f>
        <v>0</v>
      </c>
      <c r="K69" s="290">
        <f>Rounding!K154</f>
        <v>0</v>
      </c>
      <c r="L69" s="290">
        <f>Rounding!L154</f>
        <v>0</v>
      </c>
      <c r="M69" s="290">
        <f>Rounding!M154</f>
        <v>0</v>
      </c>
      <c r="N69" s="290">
        <f>Rounding!N154</f>
        <v>9.2999999999999999E-2</v>
      </c>
      <c r="O69" s="290">
        <f>Rounding!O154</f>
        <v>8.8999999999999996E-2</v>
      </c>
      <c r="P69" s="290">
        <f>Rounding!P154</f>
        <v>7.5999999999999998E-2</v>
      </c>
      <c r="Q69" s="290">
        <f>Rounding!Q154</f>
        <v>9.2999999999999999E-2</v>
      </c>
      <c r="R69" s="290">
        <f>Rounding!R154</f>
        <v>8.8999999999999996E-2</v>
      </c>
      <c r="S69" s="290">
        <f>Rounding!S154</f>
        <v>7.5999999999999998E-2</v>
      </c>
      <c r="T69" s="290">
        <f>Rounding!T154</f>
        <v>0</v>
      </c>
      <c r="U69" s="290">
        <f>Rounding!U154</f>
        <v>0</v>
      </c>
      <c r="V69" s="290">
        <f>Rounding!V154</f>
        <v>0</v>
      </c>
      <c r="W69" s="290">
        <f>Rounding!W154</f>
        <v>0.20300000000000001</v>
      </c>
      <c r="X69" s="290">
        <f>Rounding!X154</f>
        <v>0</v>
      </c>
      <c r="Y69" s="290">
        <f>Rounding!Y154</f>
        <v>0.182</v>
      </c>
      <c r="Z69" s="290">
        <f>Rounding!Z154</f>
        <v>0</v>
      </c>
      <c r="AA69" s="290">
        <f>Rounding!AA154</f>
        <v>0.156</v>
      </c>
      <c r="AB69" s="290">
        <f>Rounding!AB154</f>
        <v>0</v>
      </c>
      <c r="AC69" s="271"/>
      <c r="AD69" s="271"/>
    </row>
    <row r="70" spans="2:30" x14ac:dyDescent="0.25">
      <c r="C70" s="88"/>
      <c r="D70" s="2"/>
      <c r="E70" s="2"/>
      <c r="G70" s="13"/>
      <c r="J70" s="89"/>
      <c r="K70" s="89"/>
      <c r="L70" s="89"/>
      <c r="M70" s="89"/>
      <c r="N70" s="89"/>
      <c r="O70" s="89"/>
      <c r="P70" s="89"/>
      <c r="Q70" s="89"/>
      <c r="R70" s="89"/>
      <c r="S70" s="89"/>
      <c r="T70" s="89"/>
      <c r="U70" s="89"/>
      <c r="V70" s="89"/>
      <c r="W70" s="89"/>
      <c r="X70" s="89"/>
      <c r="Y70" s="89"/>
      <c r="Z70" s="89"/>
      <c r="AA70" s="89"/>
      <c r="AB70" s="89"/>
    </row>
    <row r="71" spans="2:30" x14ac:dyDescent="0.25">
      <c r="C71" s="31" t="str">
        <f ca="1">INDEX('Version control'!$H$34:$H$57,MATCH($A$1,'Version control'!$F$34:$F$57,0),1)&amp;"-C: Net revenue components"</f>
        <v>Section 118-C: Net revenue components</v>
      </c>
      <c r="D71" s="31"/>
      <c r="E71" s="31"/>
      <c r="F71" s="31"/>
      <c r="G71" s="31"/>
      <c r="H71" s="31"/>
      <c r="I71" s="31"/>
      <c r="J71" s="90"/>
      <c r="K71" s="90"/>
      <c r="L71" s="90"/>
      <c r="M71" s="90"/>
      <c r="N71" s="90"/>
      <c r="O71" s="90"/>
      <c r="P71" s="90"/>
      <c r="Q71" s="90"/>
      <c r="R71" s="90"/>
      <c r="S71" s="90"/>
      <c r="T71" s="90"/>
      <c r="U71" s="90"/>
      <c r="V71" s="90"/>
      <c r="W71" s="90"/>
      <c r="X71" s="90"/>
      <c r="Y71" s="90"/>
      <c r="Z71" s="90"/>
      <c r="AA71" s="90"/>
      <c r="AB71" s="90"/>
      <c r="AC71" s="31"/>
      <c r="AD71" s="31"/>
    </row>
    <row r="72" spans="2:30" x14ac:dyDescent="0.25">
      <c r="D72" s="32"/>
      <c r="J72" s="89"/>
      <c r="K72" s="89"/>
      <c r="L72" s="89"/>
      <c r="M72" s="89"/>
      <c r="N72" s="89"/>
      <c r="O72" s="89"/>
      <c r="P72" s="89"/>
      <c r="Q72" s="89"/>
      <c r="R72" s="89"/>
      <c r="S72" s="89"/>
      <c r="T72" s="89"/>
      <c r="U72" s="89"/>
      <c r="V72" s="89"/>
      <c r="W72" s="89"/>
      <c r="X72" s="89"/>
      <c r="Y72" s="89"/>
      <c r="Z72" s="89"/>
      <c r="AA72" s="89"/>
      <c r="AB72" s="89"/>
    </row>
    <row r="73" spans="2:30" x14ac:dyDescent="0.25">
      <c r="E73" t="s">
        <v>737</v>
      </c>
      <c r="G73" s="13" t="s">
        <v>276</v>
      </c>
      <c r="H73" s="120">
        <f>'General inputs'!$H$87</f>
        <v>417181725.07818514</v>
      </c>
      <c r="J73" s="199"/>
      <c r="K73" s="199"/>
      <c r="L73" s="199"/>
      <c r="M73" s="199"/>
      <c r="N73" s="199"/>
      <c r="O73" s="199"/>
      <c r="P73" s="199"/>
      <c r="Q73" s="199"/>
      <c r="R73" s="199"/>
      <c r="S73" s="199"/>
      <c r="T73" s="199"/>
      <c r="U73" s="199"/>
      <c r="V73" s="199"/>
      <c r="W73" s="199"/>
      <c r="X73" s="199"/>
      <c r="Y73" s="199"/>
      <c r="Z73" s="199"/>
      <c r="AA73" s="199"/>
      <c r="AB73" s="199"/>
    </row>
    <row r="74" spans="2:30" x14ac:dyDescent="0.25">
      <c r="E74" t="s">
        <v>826</v>
      </c>
      <c r="G74" s="13" t="s">
        <v>276</v>
      </c>
      <c r="H74" s="120">
        <f>'Revenue matching'!H58</f>
        <v>241976393.59082356</v>
      </c>
      <c r="J74" s="199"/>
      <c r="K74" s="199"/>
      <c r="L74" s="199"/>
      <c r="M74" s="199"/>
      <c r="N74" s="199"/>
      <c r="O74" s="199"/>
      <c r="P74" s="199"/>
      <c r="Q74" s="199"/>
      <c r="R74" s="199"/>
      <c r="S74" s="199"/>
      <c r="T74" s="199"/>
      <c r="U74" s="199"/>
      <c r="V74" s="199"/>
      <c r="W74" s="199"/>
      <c r="X74" s="199"/>
      <c r="Y74" s="199"/>
      <c r="Z74" s="199"/>
      <c r="AA74" s="199"/>
      <c r="AB74" s="199"/>
    </row>
    <row r="75" spans="2:30" x14ac:dyDescent="0.25">
      <c r="E75" t="s">
        <v>1008</v>
      </c>
      <c r="G75" s="13" t="s">
        <v>276</v>
      </c>
      <c r="H75" s="120">
        <f>'Revenue matching'!H158</f>
        <v>173740878.11278296</v>
      </c>
      <c r="J75" s="199"/>
      <c r="K75" s="199"/>
      <c r="L75" s="199"/>
      <c r="M75" s="199"/>
      <c r="N75" s="199"/>
      <c r="O75" s="199"/>
      <c r="P75" s="199"/>
      <c r="Q75" s="199"/>
      <c r="R75" s="199"/>
      <c r="S75" s="199"/>
      <c r="T75" s="199"/>
      <c r="U75" s="199"/>
      <c r="V75" s="199"/>
      <c r="W75" s="199"/>
      <c r="X75" s="199"/>
      <c r="Y75" s="199"/>
      <c r="Z75" s="199"/>
      <c r="AA75" s="199"/>
      <c r="AB75" s="199"/>
    </row>
    <row r="76" spans="2:30" x14ac:dyDescent="0.25">
      <c r="E76" t="s">
        <v>1009</v>
      </c>
      <c r="G76" s="13" t="s">
        <v>276</v>
      </c>
      <c r="H76" s="120">
        <f>'Fixed charge adder'!H52</f>
        <v>1462250.7520363859</v>
      </c>
      <c r="J76" s="199"/>
      <c r="K76" s="199"/>
      <c r="L76" s="199"/>
      <c r="M76" s="199"/>
      <c r="N76" s="199"/>
      <c r="O76" s="199"/>
      <c r="P76" s="199"/>
      <c r="Q76" s="199"/>
      <c r="R76" s="199"/>
      <c r="S76" s="199"/>
      <c r="T76" s="199"/>
      <c r="U76" s="199"/>
      <c r="V76" s="199"/>
      <c r="W76" s="199"/>
      <c r="X76" s="199"/>
      <c r="Y76" s="199"/>
      <c r="Z76" s="199"/>
      <c r="AA76" s="199"/>
      <c r="AB76" s="199"/>
    </row>
    <row r="77" spans="2:30" x14ac:dyDescent="0.25">
      <c r="E77" t="s">
        <v>1010</v>
      </c>
      <c r="G77" s="13" t="s">
        <v>276</v>
      </c>
      <c r="H77" s="120">
        <f>'Fixed charge adder'!H56</f>
        <v>2202.6225422031271</v>
      </c>
      <c r="J77" s="199"/>
      <c r="K77" s="199"/>
      <c r="L77" s="199"/>
      <c r="M77" s="199"/>
      <c r="N77" s="199"/>
      <c r="O77" s="199"/>
      <c r="P77" s="199"/>
      <c r="Q77" s="199"/>
      <c r="R77" s="199"/>
      <c r="S77" s="199"/>
      <c r="T77" s="199"/>
      <c r="U77" s="199"/>
      <c r="V77" s="199"/>
      <c r="W77" s="199"/>
      <c r="X77" s="199"/>
      <c r="Y77" s="199"/>
      <c r="Z77" s="199"/>
      <c r="AA77" s="199"/>
      <c r="AB77" s="199"/>
    </row>
    <row r="78" spans="2:30" x14ac:dyDescent="0.25">
      <c r="D78" s="32"/>
      <c r="H78" s="89"/>
      <c r="J78" s="89"/>
      <c r="K78" s="89"/>
      <c r="L78" s="89"/>
      <c r="M78" s="89"/>
      <c r="N78" s="89"/>
      <c r="O78" s="89"/>
      <c r="P78" s="89"/>
      <c r="Q78" s="89"/>
      <c r="R78" s="89"/>
      <c r="S78" s="89"/>
      <c r="T78" s="89"/>
      <c r="U78" s="89"/>
      <c r="V78" s="89"/>
      <c r="W78" s="89"/>
      <c r="X78" s="89"/>
      <c r="Y78" s="89"/>
      <c r="Z78" s="89"/>
      <c r="AA78" s="89"/>
      <c r="AB78" s="89"/>
    </row>
    <row r="79" spans="2:30" x14ac:dyDescent="0.25">
      <c r="B79" s="30" t="s">
        <v>827</v>
      </c>
      <c r="C79" s="30"/>
      <c r="D79" s="30"/>
      <c r="E79" s="30"/>
      <c r="F79" s="30"/>
      <c r="G79" s="30"/>
      <c r="H79" s="184"/>
      <c r="I79" s="30"/>
      <c r="J79" s="184"/>
      <c r="K79" s="184"/>
      <c r="L79" s="184"/>
      <c r="M79" s="184"/>
      <c r="N79" s="184"/>
      <c r="O79" s="184"/>
      <c r="P79" s="184"/>
      <c r="Q79" s="184"/>
      <c r="R79" s="184"/>
      <c r="S79" s="184"/>
      <c r="T79" s="184"/>
      <c r="U79" s="184"/>
      <c r="V79" s="184"/>
      <c r="W79" s="184"/>
      <c r="X79" s="184"/>
      <c r="Y79" s="184"/>
      <c r="Z79" s="184"/>
      <c r="AA79" s="184"/>
      <c r="AB79" s="184"/>
      <c r="AC79" s="30"/>
      <c r="AD79" s="30"/>
    </row>
    <row r="80" spans="2:30" x14ac:dyDescent="0.25">
      <c r="D80" s="2"/>
      <c r="E80" s="2"/>
      <c r="H80" s="89"/>
      <c r="J80" s="89"/>
      <c r="K80" s="89"/>
      <c r="L80" s="89"/>
      <c r="M80" s="89"/>
      <c r="N80" s="89"/>
      <c r="O80" s="89"/>
      <c r="P80" s="89"/>
      <c r="Q80" s="89"/>
      <c r="R80" s="89"/>
      <c r="S80" s="89"/>
      <c r="T80" s="89"/>
      <c r="U80" s="89"/>
      <c r="V80" s="89"/>
      <c r="W80" s="89"/>
      <c r="X80" s="89"/>
      <c r="Y80" s="89"/>
      <c r="Z80" s="89"/>
      <c r="AA80" s="89"/>
      <c r="AB80" s="89"/>
    </row>
    <row r="81" spans="3:30" x14ac:dyDescent="0.25">
      <c r="C81" s="31" t="str">
        <f ca="1">INDEX('Version control'!$H$34:$H$57,MATCH($A$1,'Version control'!$F$34:$F$57,0),1)&amp;"-D: Net revenue by tariff"</f>
        <v>Section 118-D: Net revenue by tariff</v>
      </c>
      <c r="D81" s="31"/>
      <c r="E81" s="31"/>
      <c r="F81" s="31"/>
      <c r="G81" s="31"/>
      <c r="H81" s="90"/>
      <c r="I81" s="31"/>
      <c r="J81" s="90"/>
      <c r="K81" s="90"/>
      <c r="L81" s="90"/>
      <c r="M81" s="90"/>
      <c r="N81" s="90"/>
      <c r="O81" s="90"/>
      <c r="P81" s="90"/>
      <c r="Q81" s="90"/>
      <c r="R81" s="90"/>
      <c r="S81" s="90"/>
      <c r="T81" s="90"/>
      <c r="U81" s="90"/>
      <c r="V81" s="90"/>
      <c r="W81" s="90"/>
      <c r="X81" s="90"/>
      <c r="Y81" s="90"/>
      <c r="Z81" s="90"/>
      <c r="AA81" s="90"/>
      <c r="AB81" s="90"/>
      <c r="AC81" s="31"/>
      <c r="AD81" s="31"/>
    </row>
    <row r="82" spans="3:30" x14ac:dyDescent="0.25">
      <c r="F82" s="3"/>
      <c r="G82" s="216"/>
      <c r="H82" s="127"/>
      <c r="I82" s="3"/>
      <c r="J82" s="89"/>
      <c r="K82" s="89"/>
      <c r="L82" s="89"/>
      <c r="M82" s="89"/>
      <c r="N82" s="89"/>
      <c r="O82" s="89"/>
      <c r="P82" s="89"/>
      <c r="Q82" s="89"/>
      <c r="R82" s="89"/>
      <c r="S82" s="89"/>
      <c r="T82" s="89"/>
      <c r="U82" s="89"/>
      <c r="V82" s="89"/>
      <c r="W82" s="89"/>
      <c r="X82" s="89"/>
      <c r="Y82" s="89"/>
      <c r="Z82" s="89"/>
      <c r="AA82" s="89"/>
      <c r="AB82" s="89"/>
    </row>
    <row r="83" spans="3:30" x14ac:dyDescent="0.25">
      <c r="E83" s="32" t="s">
        <v>828</v>
      </c>
      <c r="G83" s="13"/>
      <c r="H83" s="217" t="s">
        <v>544</v>
      </c>
      <c r="J83" s="89"/>
      <c r="K83" s="89"/>
      <c r="L83" s="89"/>
      <c r="M83" s="89"/>
      <c r="N83" s="89"/>
      <c r="O83" s="89"/>
      <c r="P83" s="89"/>
      <c r="Q83" s="89"/>
      <c r="R83" s="89"/>
      <c r="S83" s="89"/>
      <c r="T83" s="89"/>
      <c r="U83" s="89"/>
      <c r="V83" s="89"/>
      <c r="W83" s="89"/>
      <c r="X83" s="89"/>
      <c r="Y83" s="89"/>
      <c r="Z83" s="89"/>
      <c r="AA83" s="89"/>
      <c r="AB83" s="89"/>
    </row>
    <row r="84" spans="3:30" x14ac:dyDescent="0.25">
      <c r="E84" s="28"/>
      <c r="F84" s="23" t="s">
        <v>155</v>
      </c>
      <c r="G84" s="85" t="s">
        <v>276</v>
      </c>
      <c r="H84" s="126">
        <f t="shared" ref="H84:H90" si="0">SUM(J84:AB84)</f>
        <v>132346422.75325714</v>
      </c>
      <c r="I84" s="23"/>
      <c r="J84" s="126">
        <f t="shared" ref="J84:K84" si="1">J16 * thousand * J45 / hundred</f>
        <v>73946949.614525601</v>
      </c>
      <c r="K84" s="126">
        <f t="shared" si="1"/>
        <v>134645.40454391198</v>
      </c>
      <c r="L84" s="126">
        <f t="shared" ref="L84:M84" si="2">L16 * thousand * L45 / hundred</f>
        <v>21799627.171411514</v>
      </c>
      <c r="M84" s="126">
        <f t="shared" si="2"/>
        <v>484355.46461324982</v>
      </c>
      <c r="N84" s="126">
        <f t="shared" ref="N84:P84" si="3">N16 * thousand * N45 / hundred</f>
        <v>22564978.91175561</v>
      </c>
      <c r="O84" s="126">
        <f t="shared" si="3"/>
        <v>1145130.0062596258</v>
      </c>
      <c r="P84" s="126">
        <f t="shared" si="3"/>
        <v>13869597.024542928</v>
      </c>
      <c r="Q84" s="126">
        <f t="shared" ref="Q84:S84" si="4">Q16 * thousand * Q45 / hundred</f>
        <v>0</v>
      </c>
      <c r="R84" s="126">
        <f t="shared" si="4"/>
        <v>0</v>
      </c>
      <c r="S84" s="126">
        <f t="shared" si="4"/>
        <v>0</v>
      </c>
      <c r="T84" s="126">
        <f t="shared" ref="T84:V84" si="5">T16 * thousand * T45 / hundred</f>
        <v>3146529.3422607589</v>
      </c>
      <c r="U84" s="126">
        <f t="shared" si="5"/>
        <v>-8966.810030028746</v>
      </c>
      <c r="V84" s="126">
        <f t="shared" si="5"/>
        <v>-163.70828277416985</v>
      </c>
      <c r="W84" s="126">
        <f t="shared" ref="W84:X84" si="6">W16 * thousand * W45 / hundred</f>
        <v>-394922.27664911223</v>
      </c>
      <c r="X84" s="126">
        <f t="shared" si="6"/>
        <v>0</v>
      </c>
      <c r="Y84" s="126">
        <f t="shared" ref="Y84:Z84" si="7">Y16 * thousand * Y45 / hundred</f>
        <v>-8227.0991392727065</v>
      </c>
      <c r="Z84" s="126">
        <f t="shared" si="7"/>
        <v>0</v>
      </c>
      <c r="AA84" s="126">
        <f t="shared" ref="AA84:AB84" si="8">AA16 * thousand * AA45 / hundred</f>
        <v>-4333110.2925548442</v>
      </c>
      <c r="AB84" s="126">
        <f t="shared" si="8"/>
        <v>0</v>
      </c>
    </row>
    <row r="85" spans="3:30" x14ac:dyDescent="0.25">
      <c r="E85" s="28"/>
      <c r="F85" t="s">
        <v>156</v>
      </c>
      <c r="G85" s="13" t="s">
        <v>276</v>
      </c>
      <c r="H85" s="98">
        <f t="shared" si="0"/>
        <v>121749800.81182724</v>
      </c>
      <c r="J85" s="98">
        <f t="shared" ref="J85:K85" si="9">J17 * thousand * J46 / hundred</f>
        <v>52515660.55003991</v>
      </c>
      <c r="K85" s="98">
        <f t="shared" si="9"/>
        <v>487298.80050638539</v>
      </c>
      <c r="L85" s="98">
        <f t="shared" ref="L85:M85" si="10">L17 * thousand * L46 / hundred</f>
        <v>22103224.79904462</v>
      </c>
      <c r="M85" s="98">
        <f t="shared" si="10"/>
        <v>550190.89842389303</v>
      </c>
      <c r="N85" s="98">
        <f t="shared" ref="N85:P85" si="11">N17 * thousand * N46 / hundred</f>
        <v>23973234.323768526</v>
      </c>
      <c r="O85" s="98">
        <f t="shared" si="11"/>
        <v>1518787.5853373036</v>
      </c>
      <c r="P85" s="98">
        <f t="shared" si="11"/>
        <v>20958600.461939652</v>
      </c>
      <c r="Q85" s="98">
        <f t="shared" ref="Q85:S85" si="12">Q17 * thousand * Q46 / hundred</f>
        <v>0</v>
      </c>
      <c r="R85" s="98">
        <f t="shared" si="12"/>
        <v>0</v>
      </c>
      <c r="S85" s="98">
        <f t="shared" si="12"/>
        <v>0</v>
      </c>
      <c r="T85" s="98">
        <f t="shared" ref="T85:V85" si="13">T17 * thousand * T46 / hundred</f>
        <v>1230646.2455049627</v>
      </c>
      <c r="U85" s="98">
        <f t="shared" si="13"/>
        <v>-3947.4675534084085</v>
      </c>
      <c r="V85" s="98">
        <f t="shared" si="13"/>
        <v>-64.981921045943949</v>
      </c>
      <c r="W85" s="98">
        <f t="shared" ref="W85:X85" si="14">W17 * thousand * W46 / hundred</f>
        <v>-173685.62894986436</v>
      </c>
      <c r="X85" s="98">
        <f t="shared" si="14"/>
        <v>0</v>
      </c>
      <c r="Y85" s="98">
        <f t="shared" ref="Y85:Z85" si="15">Y17 * thousand * Y46 / hundred</f>
        <v>-3273.4661134057283</v>
      </c>
      <c r="Z85" s="98">
        <f t="shared" si="15"/>
        <v>0</v>
      </c>
      <c r="AA85" s="98">
        <f t="shared" ref="AA85:AB85" si="16">AA17 * thousand * AA46 / hundred</f>
        <v>-1406871.3082002767</v>
      </c>
      <c r="AB85" s="98">
        <f t="shared" si="16"/>
        <v>0</v>
      </c>
    </row>
    <row r="86" spans="3:30" x14ac:dyDescent="0.25">
      <c r="E86" s="28"/>
      <c r="F86" t="s">
        <v>157</v>
      </c>
      <c r="G86" s="13" t="s">
        <v>276</v>
      </c>
      <c r="H86" s="98">
        <f t="shared" si="0"/>
        <v>78916548.139374614</v>
      </c>
      <c r="J86" s="98">
        <f t="shared" ref="J86:K86" si="17">J18 * thousand * J47 / hundred</f>
        <v>27874765.346436787</v>
      </c>
      <c r="K86" s="98">
        <f t="shared" si="17"/>
        <v>2868937.4745019125</v>
      </c>
      <c r="L86" s="98">
        <f t="shared" ref="L86:M86" si="18">L18 * thousand * L47 / hundred</f>
        <v>11534409.726293771</v>
      </c>
      <c r="M86" s="98">
        <f t="shared" si="18"/>
        <v>617067.99532056379</v>
      </c>
      <c r="N86" s="98">
        <f t="shared" ref="N86:P86" si="19">N18 * thousand * N47 / hundred</f>
        <v>13432001.518230185</v>
      </c>
      <c r="O86" s="98">
        <f t="shared" si="19"/>
        <v>1164363.1058836333</v>
      </c>
      <c r="P86" s="98">
        <f t="shared" si="19"/>
        <v>18443359.63820241</v>
      </c>
      <c r="Q86" s="98">
        <f t="shared" ref="Q86:S86" si="20">Q18 * thousand * Q47 / hundred</f>
        <v>0</v>
      </c>
      <c r="R86" s="98">
        <f t="shared" si="20"/>
        <v>0</v>
      </c>
      <c r="S86" s="98">
        <f t="shared" si="20"/>
        <v>0</v>
      </c>
      <c r="T86" s="98">
        <f t="shared" ref="T86:V86" si="21">T18 * thousand * T47 / hundred</f>
        <v>3017280.8561051567</v>
      </c>
      <c r="U86" s="98">
        <f t="shared" si="21"/>
        <v>-111.70738241000788</v>
      </c>
      <c r="V86" s="98">
        <f t="shared" si="21"/>
        <v>-2.2408899458589304</v>
      </c>
      <c r="W86" s="98">
        <f t="shared" ref="W86:X86" si="22">W18 * thousand * W47 / hundred</f>
        <v>-4957.0042140094447</v>
      </c>
      <c r="X86" s="98">
        <f t="shared" si="22"/>
        <v>0</v>
      </c>
      <c r="Y86" s="98">
        <f t="shared" ref="Y86:Z86" si="23">Y18 * thousand * Y47 / hundred</f>
        <v>-113.01906231338593</v>
      </c>
      <c r="Z86" s="98">
        <f t="shared" si="23"/>
        <v>0</v>
      </c>
      <c r="AA86" s="98">
        <f t="shared" ref="AA86:AB86" si="24">AA18 * thousand * AA47 / hundred</f>
        <v>-30453.550051134946</v>
      </c>
      <c r="AB86" s="98">
        <f t="shared" si="24"/>
        <v>0</v>
      </c>
    </row>
    <row r="87" spans="3:30" x14ac:dyDescent="0.25">
      <c r="E87" s="28"/>
      <c r="F87" s="23" t="s">
        <v>158</v>
      </c>
      <c r="G87" s="85" t="s">
        <v>276</v>
      </c>
      <c r="H87" s="126">
        <f t="shared" si="0"/>
        <v>36501369.005499989</v>
      </c>
      <c r="I87" s="23"/>
      <c r="J87" s="126">
        <f t="shared" ref="J87:K87" si="25" xml:space="preserve"> J19 * J48 * days_in_year / hundred</f>
        <v>32186533.805999998</v>
      </c>
      <c r="K87" s="126">
        <f t="shared" si="25"/>
        <v>0</v>
      </c>
      <c r="L87" s="126">
        <f t="shared" ref="L87:M87" si="26" xml:space="preserve"> L19 * L48 * days_in_year / hundred</f>
        <v>2756411.38</v>
      </c>
      <c r="M87" s="126">
        <f t="shared" si="26"/>
        <v>0</v>
      </c>
      <c r="N87" s="126">
        <f t="shared" ref="N87:P87" si="27" xml:space="preserve"> N19 * N48 * days_in_year / hundred</f>
        <v>896802.15300000017</v>
      </c>
      <c r="O87" s="126">
        <f t="shared" si="27"/>
        <v>6706.5465000000004</v>
      </c>
      <c r="P87" s="126">
        <f t="shared" si="27"/>
        <v>570524.01749999996</v>
      </c>
      <c r="Q87" s="126">
        <f t="shared" ref="Q87:S87" si="28" xml:space="preserve"> Q19 * Q48 * days_in_year / hundred</f>
        <v>0</v>
      </c>
      <c r="R87" s="126">
        <f t="shared" si="28"/>
        <v>0</v>
      </c>
      <c r="S87" s="126">
        <f t="shared" si="28"/>
        <v>0</v>
      </c>
      <c r="T87" s="126">
        <f t="shared" ref="T87:V87" si="29" xml:space="preserve"> T19 * T48 * days_in_year / hundred</f>
        <v>0</v>
      </c>
      <c r="U87" s="126">
        <f t="shared" si="29"/>
        <v>0</v>
      </c>
      <c r="V87" s="126">
        <f t="shared" si="29"/>
        <v>0</v>
      </c>
      <c r="W87" s="126">
        <f t="shared" ref="W87:X87" si="30" xml:space="preserve"> W19 * W48 * days_in_year / hundred</f>
        <v>0</v>
      </c>
      <c r="X87" s="126">
        <f t="shared" si="30"/>
        <v>0</v>
      </c>
      <c r="Y87" s="126">
        <f t="shared" ref="Y87:Z87" si="31" xml:space="preserve"> Y19 * Y48 * days_in_year / hundred</f>
        <v>0</v>
      </c>
      <c r="Z87" s="126">
        <f t="shared" si="31"/>
        <v>0</v>
      </c>
      <c r="AA87" s="126">
        <f t="shared" ref="AA87:AB87" si="32" xml:space="preserve"> AA19 * AA48 * days_in_year / hundred</f>
        <v>84391.102499999994</v>
      </c>
      <c r="AB87" s="126">
        <f t="shared" si="32"/>
        <v>0</v>
      </c>
    </row>
    <row r="88" spans="3:30" x14ac:dyDescent="0.25">
      <c r="E88" s="28"/>
      <c r="F88" t="s">
        <v>159</v>
      </c>
      <c r="G88" s="13" t="s">
        <v>276</v>
      </c>
      <c r="H88" s="98">
        <f t="shared" si="0"/>
        <v>38122269.291000001</v>
      </c>
      <c r="J88" s="98">
        <f t="shared" ref="J88:K88" si="33" xml:space="preserve"> J20 * J49 * days_in_year / hundred</f>
        <v>0</v>
      </c>
      <c r="K88" s="98">
        <f t="shared" si="33"/>
        <v>0</v>
      </c>
      <c r="L88" s="98">
        <f t="shared" ref="L88:M88" si="34" xml:space="preserve"> L20 * L49 * days_in_year / hundred</f>
        <v>0</v>
      </c>
      <c r="M88" s="98">
        <f t="shared" si="34"/>
        <v>0</v>
      </c>
      <c r="N88" s="98">
        <f t="shared" ref="N88:P88" si="35" xml:space="preserve"> N20 * N49 * days_in_year / hundred</f>
        <v>13371902.75</v>
      </c>
      <c r="O88" s="98">
        <f t="shared" si="35"/>
        <v>1525487.2049999996</v>
      </c>
      <c r="P88" s="98">
        <f t="shared" si="35"/>
        <v>23224879.335999999</v>
      </c>
      <c r="Q88" s="98">
        <f t="shared" ref="Q88:S88" si="36" xml:space="preserve"> Q20 * Q49 * days_in_year / hundred</f>
        <v>0</v>
      </c>
      <c r="R88" s="98">
        <f t="shared" si="36"/>
        <v>0</v>
      </c>
      <c r="S88" s="98">
        <f t="shared" si="36"/>
        <v>0</v>
      </c>
      <c r="T88" s="98">
        <f t="shared" ref="T88:V88" si="37" xml:space="preserve"> T20 * T49 * days_in_year / hundred</f>
        <v>0</v>
      </c>
      <c r="U88" s="98">
        <f t="shared" si="37"/>
        <v>0</v>
      </c>
      <c r="V88" s="98">
        <f t="shared" si="37"/>
        <v>0</v>
      </c>
      <c r="W88" s="98">
        <f t="shared" ref="W88:X88" si="38" xml:space="preserve"> W20 * W49 * days_in_year / hundred</f>
        <v>0</v>
      </c>
      <c r="X88" s="98">
        <f t="shared" si="38"/>
        <v>0</v>
      </c>
      <c r="Y88" s="98">
        <f t="shared" ref="Y88:Z88" si="39" xml:space="preserve"> Y20 * Y49 * days_in_year / hundred</f>
        <v>0</v>
      </c>
      <c r="Z88" s="98">
        <f t="shared" si="39"/>
        <v>0</v>
      </c>
      <c r="AA88" s="98">
        <f t="shared" ref="AA88:AB88" si="40" xml:space="preserve"> AA20 * AA49 * days_in_year / hundred</f>
        <v>0</v>
      </c>
      <c r="AB88" s="98">
        <f t="shared" si="40"/>
        <v>0</v>
      </c>
    </row>
    <row r="89" spans="3:30" x14ac:dyDescent="0.25">
      <c r="E89" s="28"/>
      <c r="F89" t="s">
        <v>160</v>
      </c>
      <c r="G89" s="13" t="s">
        <v>276</v>
      </c>
      <c r="H89" s="98">
        <f t="shared" si="0"/>
        <v>780792.18527999986</v>
      </c>
      <c r="J89" s="98">
        <f t="shared" ref="J89:K89" si="41" xml:space="preserve"> J21 * J50 * days_in_year / hundred</f>
        <v>0</v>
      </c>
      <c r="K89" s="98">
        <f t="shared" si="41"/>
        <v>0</v>
      </c>
      <c r="L89" s="98">
        <f t="shared" ref="L89:M89" si="42" xml:space="preserve"> L21 * L50 * days_in_year / hundred</f>
        <v>0</v>
      </c>
      <c r="M89" s="98">
        <f t="shared" si="42"/>
        <v>0</v>
      </c>
      <c r="N89" s="98">
        <f t="shared" ref="N89:P89" si="43" xml:space="preserve"> N21 * N50 * days_in_year / hundred</f>
        <v>397847.90708999999</v>
      </c>
      <c r="O89" s="98">
        <f t="shared" si="43"/>
        <v>19552.15137</v>
      </c>
      <c r="P89" s="98">
        <f t="shared" si="43"/>
        <v>363392.12681999995</v>
      </c>
      <c r="Q89" s="98">
        <f t="shared" ref="Q89:S89" si="44" xml:space="preserve"> Q21 * Q50 * days_in_year / hundred</f>
        <v>0</v>
      </c>
      <c r="R89" s="98">
        <f t="shared" si="44"/>
        <v>0</v>
      </c>
      <c r="S89" s="98">
        <f t="shared" si="44"/>
        <v>0</v>
      </c>
      <c r="T89" s="98">
        <f t="shared" ref="T89:V89" si="45" xml:space="preserve"> T21 * T50 * days_in_year / hundred</f>
        <v>0</v>
      </c>
      <c r="U89" s="98">
        <f t="shared" si="45"/>
        <v>0</v>
      </c>
      <c r="V89" s="98">
        <f t="shared" si="45"/>
        <v>0</v>
      </c>
      <c r="W89" s="98">
        <f t="shared" ref="W89:X89" si="46" xml:space="preserve"> W21 * W50 * days_in_year / hundred</f>
        <v>0</v>
      </c>
      <c r="X89" s="98">
        <f t="shared" si="46"/>
        <v>0</v>
      </c>
      <c r="Y89" s="98">
        <f t="shared" ref="Y89:Z89" si="47" xml:space="preserve"> Y21 * Y50 * days_in_year / hundred</f>
        <v>0</v>
      </c>
      <c r="Z89" s="98">
        <f t="shared" si="47"/>
        <v>0</v>
      </c>
      <c r="AA89" s="98">
        <f t="shared" ref="AA89:AB89" si="48" xml:space="preserve"> AA21 * AA50 * days_in_year / hundred</f>
        <v>0</v>
      </c>
      <c r="AB89" s="98">
        <f t="shared" si="48"/>
        <v>0</v>
      </c>
    </row>
    <row r="90" spans="3:30" x14ac:dyDescent="0.25">
      <c r="E90" s="28"/>
      <c r="F90" s="23" t="s">
        <v>161</v>
      </c>
      <c r="G90" s="85" t="s">
        <v>276</v>
      </c>
      <c r="H90" s="126">
        <f t="shared" si="0"/>
        <v>885237.3600000001</v>
      </c>
      <c r="I90" s="23"/>
      <c r="J90" s="126">
        <f t="shared" ref="J90:K90" si="49">J22 * thousand * J51 / hundred</f>
        <v>0</v>
      </c>
      <c r="K90" s="126">
        <f t="shared" si="49"/>
        <v>0</v>
      </c>
      <c r="L90" s="126">
        <f t="shared" ref="L90:M90" si="50">L22 * thousand * L51 / hundred</f>
        <v>0</v>
      </c>
      <c r="M90" s="126">
        <f t="shared" si="50"/>
        <v>0</v>
      </c>
      <c r="N90" s="126">
        <f t="shared" ref="N90:P90" si="51">N22 * thousand * N51 / hundred</f>
        <v>568512</v>
      </c>
      <c r="O90" s="126">
        <f t="shared" si="51"/>
        <v>26057.4</v>
      </c>
      <c r="P90" s="126">
        <f t="shared" si="51"/>
        <v>255204</v>
      </c>
      <c r="Q90" s="126">
        <f t="shared" ref="Q90:S90" si="52">Q22 * thousand * Q51 / hundred</f>
        <v>0</v>
      </c>
      <c r="R90" s="126">
        <f t="shared" si="52"/>
        <v>0</v>
      </c>
      <c r="S90" s="126">
        <f t="shared" si="52"/>
        <v>0</v>
      </c>
      <c r="T90" s="126">
        <f t="shared" ref="T90:V90" si="53">T22 * thousand * T51 / hundred</f>
        <v>0</v>
      </c>
      <c r="U90" s="126">
        <f t="shared" si="53"/>
        <v>0</v>
      </c>
      <c r="V90" s="126">
        <f t="shared" si="53"/>
        <v>0</v>
      </c>
      <c r="W90" s="126">
        <f t="shared" ref="W90:X90" si="54">W22 * thousand * W51 / hundred</f>
        <v>9037.5600000000013</v>
      </c>
      <c r="X90" s="126">
        <f t="shared" si="54"/>
        <v>0</v>
      </c>
      <c r="Y90" s="126">
        <f t="shared" ref="Y90:Z90" si="55">Y22 * thousand * Y51 / hundred</f>
        <v>742.56</v>
      </c>
      <c r="Z90" s="126">
        <f t="shared" si="55"/>
        <v>0</v>
      </c>
      <c r="AA90" s="126">
        <f t="shared" ref="AA90:AB90" si="56">AA22 * thousand * AA51 / hundred</f>
        <v>25683.84</v>
      </c>
      <c r="AB90" s="126">
        <f t="shared" si="56"/>
        <v>0</v>
      </c>
    </row>
    <row r="91" spans="3:30" x14ac:dyDescent="0.25">
      <c r="E91" s="28"/>
      <c r="F91" s="108" t="s">
        <v>99</v>
      </c>
      <c r="G91" s="218" t="s">
        <v>276</v>
      </c>
      <c r="H91" s="153">
        <f>SUM(H84:H90)</f>
        <v>409302439.54623908</v>
      </c>
      <c r="I91" s="54"/>
      <c r="J91" s="153">
        <f t="shared" ref="J91:K91" si="57">SUM(J84:J90)</f>
        <v>186523909.3170023</v>
      </c>
      <c r="K91" s="153">
        <f t="shared" si="57"/>
        <v>3490881.6795522096</v>
      </c>
      <c r="L91" s="153">
        <f t="shared" ref="L91:M91" si="58">SUM(L84:L90)</f>
        <v>58193673.076749913</v>
      </c>
      <c r="M91" s="153">
        <f t="shared" si="58"/>
        <v>1651614.3583577066</v>
      </c>
      <c r="N91" s="153">
        <f t="shared" ref="N91:P91" si="59">SUM(N84:N90)</f>
        <v>75205279.563844308</v>
      </c>
      <c r="O91" s="153">
        <f t="shared" si="59"/>
        <v>5406084.0003505629</v>
      </c>
      <c r="P91" s="153">
        <f t="shared" si="59"/>
        <v>77685556.605004981</v>
      </c>
      <c r="Q91" s="153">
        <f t="shared" ref="Q91:S91" si="60">SUM(Q84:Q90)</f>
        <v>0</v>
      </c>
      <c r="R91" s="153">
        <f t="shared" si="60"/>
        <v>0</v>
      </c>
      <c r="S91" s="153">
        <f t="shared" si="60"/>
        <v>0</v>
      </c>
      <c r="T91" s="153">
        <f t="shared" ref="T91:V91" si="61">SUM(T84:T90)</f>
        <v>7394456.4438708778</v>
      </c>
      <c r="U91" s="153">
        <f t="shared" si="61"/>
        <v>-13025.984965847163</v>
      </c>
      <c r="V91" s="153">
        <f t="shared" si="61"/>
        <v>-230.93109376597272</v>
      </c>
      <c r="W91" s="153">
        <f t="shared" ref="W91:X91" si="62">SUM(W84:W90)</f>
        <v>-564527.3498129861</v>
      </c>
      <c r="X91" s="153">
        <f t="shared" si="62"/>
        <v>0</v>
      </c>
      <c r="Y91" s="153">
        <f t="shared" ref="Y91:Z91" si="63">SUM(Y84:Y90)</f>
        <v>-10871.024314991821</v>
      </c>
      <c r="Z91" s="153">
        <f t="shared" si="63"/>
        <v>0</v>
      </c>
      <c r="AA91" s="153">
        <f t="shared" ref="AA91:AB91" si="64">SUM(AA84:AA90)</f>
        <v>-5660360.2083062558</v>
      </c>
      <c r="AB91" s="153">
        <f t="shared" si="64"/>
        <v>0</v>
      </c>
    </row>
    <row r="92" spans="3:30" x14ac:dyDescent="0.25">
      <c r="E92" s="28"/>
      <c r="G92" s="13"/>
      <c r="H92" s="89"/>
      <c r="J92" s="89"/>
      <c r="K92" s="89"/>
      <c r="L92" s="89"/>
      <c r="M92" s="89"/>
      <c r="N92" s="89"/>
      <c r="O92" s="89"/>
      <c r="P92" s="89"/>
      <c r="Q92" s="89"/>
      <c r="R92" s="89"/>
      <c r="S92" s="89"/>
      <c r="T92" s="89"/>
      <c r="U92" s="89"/>
      <c r="V92" s="89"/>
      <c r="W92" s="89"/>
      <c r="X92" s="89"/>
      <c r="Y92" s="89"/>
      <c r="Z92" s="89"/>
      <c r="AA92" s="89"/>
      <c r="AB92" s="89"/>
    </row>
    <row r="93" spans="3:30" x14ac:dyDescent="0.25">
      <c r="E93" s="32" t="s">
        <v>829</v>
      </c>
      <c r="G93" s="13"/>
      <c r="H93" s="217" t="s">
        <v>544</v>
      </c>
      <c r="J93" s="89"/>
      <c r="K93" s="89"/>
      <c r="L93" s="89"/>
      <c r="M93" s="89"/>
      <c r="N93" s="89"/>
      <c r="O93" s="89"/>
      <c r="P93" s="89"/>
      <c r="Q93" s="89"/>
      <c r="R93" s="89"/>
      <c r="S93" s="89"/>
      <c r="T93" s="89"/>
      <c r="U93" s="89"/>
      <c r="V93" s="89"/>
      <c r="W93" s="89"/>
      <c r="X93" s="89"/>
      <c r="Y93" s="89"/>
      <c r="Z93" s="89"/>
      <c r="AA93" s="89"/>
      <c r="AB93" s="89"/>
    </row>
    <row r="94" spans="3:30" x14ac:dyDescent="0.25">
      <c r="E94" s="28"/>
      <c r="F94" s="23" t="s">
        <v>155</v>
      </c>
      <c r="G94" s="85" t="s">
        <v>276</v>
      </c>
      <c r="H94" s="126">
        <f t="shared" ref="H94:H100" si="65">SUM(J94:AB94)</f>
        <v>973561.11128365039</v>
      </c>
      <c r="I94" s="23"/>
      <c r="J94" s="126">
        <f t="shared" ref="J94:K94" si="66">J25 * thousand * J54 / hundred</f>
        <v>848580.39442107012</v>
      </c>
      <c r="K94" s="126">
        <f t="shared" si="66"/>
        <v>86.514610628823434</v>
      </c>
      <c r="L94" s="126">
        <f t="shared" ref="L94:M94" si="67">L25 * thousand * L54 / hundred</f>
        <v>42517.797041812002</v>
      </c>
      <c r="M94" s="126">
        <f t="shared" si="67"/>
        <v>0</v>
      </c>
      <c r="N94" s="126">
        <f t="shared" ref="N94:P94" si="68">N25 * thousand * N54 / hundred</f>
        <v>79583.780250000011</v>
      </c>
      <c r="O94" s="126">
        <f t="shared" si="68"/>
        <v>0</v>
      </c>
      <c r="P94" s="126">
        <f t="shared" si="68"/>
        <v>0</v>
      </c>
      <c r="Q94" s="126">
        <f t="shared" ref="Q94:S94" si="69">Q25 * thousand * Q54 / hundred</f>
        <v>0</v>
      </c>
      <c r="R94" s="126">
        <f t="shared" si="69"/>
        <v>0</v>
      </c>
      <c r="S94" s="126">
        <f t="shared" si="69"/>
        <v>0</v>
      </c>
      <c r="T94" s="126">
        <f t="shared" ref="T94:V94" si="70">T25 * thousand * T54 / hundred</f>
        <v>2829.3551525235048</v>
      </c>
      <c r="U94" s="126">
        <f t="shared" si="70"/>
        <v>-36.730192384065433</v>
      </c>
      <c r="V94" s="126">
        <f t="shared" si="70"/>
        <v>0</v>
      </c>
      <c r="W94" s="126">
        <f t="shared" ref="W94:X94" si="71">W25 * thousand * W54 / hundred</f>
        <v>0</v>
      </c>
      <c r="X94" s="126">
        <f t="shared" si="71"/>
        <v>0</v>
      </c>
      <c r="Y94" s="126">
        <f t="shared" ref="Y94:Z94" si="72">Y25 * thousand * Y54 / hundred</f>
        <v>0</v>
      </c>
      <c r="Z94" s="126">
        <f t="shared" si="72"/>
        <v>0</v>
      </c>
      <c r="AA94" s="126">
        <f t="shared" ref="AA94:AB94" si="73">AA25 * thousand * AA54 / hundred</f>
        <v>0</v>
      </c>
      <c r="AB94" s="126">
        <f t="shared" si="73"/>
        <v>0</v>
      </c>
    </row>
    <row r="95" spans="3:30" x14ac:dyDescent="0.25">
      <c r="E95" s="28"/>
      <c r="F95" t="s">
        <v>156</v>
      </c>
      <c r="G95" s="13" t="s">
        <v>276</v>
      </c>
      <c r="H95" s="98">
        <f t="shared" si="65"/>
        <v>730125.00157429127</v>
      </c>
      <c r="J95" s="98">
        <f t="shared" ref="J95:K95" si="74">J26 * thousand * J55 / hundred</f>
        <v>603776.99208600353</v>
      </c>
      <c r="K95" s="98">
        <f t="shared" si="74"/>
        <v>313.32788776176653</v>
      </c>
      <c r="L95" s="98">
        <f t="shared" ref="L95:M95" si="75">L26 * thousand * L55 / hundred</f>
        <v>43070.054249734923</v>
      </c>
      <c r="M95" s="98">
        <f t="shared" si="75"/>
        <v>0</v>
      </c>
      <c r="N95" s="98">
        <f t="shared" ref="N95:P95" si="76">N26 * thousand * N55 / hundred</f>
        <v>79068.352350000001</v>
      </c>
      <c r="O95" s="98">
        <f t="shared" si="76"/>
        <v>0</v>
      </c>
      <c r="P95" s="98">
        <f t="shared" si="76"/>
        <v>0</v>
      </c>
      <c r="Q95" s="98">
        <f t="shared" ref="Q95:S95" si="77">Q26 * thousand * Q55 / hundred</f>
        <v>0</v>
      </c>
      <c r="R95" s="98">
        <f t="shared" si="77"/>
        <v>0</v>
      </c>
      <c r="S95" s="98">
        <f t="shared" si="77"/>
        <v>0</v>
      </c>
      <c r="T95" s="98">
        <f t="shared" ref="T95:V95" si="78">T26 * thousand * T55 / hundred</f>
        <v>3909.4189251266675</v>
      </c>
      <c r="U95" s="98">
        <f t="shared" si="78"/>
        <v>-13.143924335691601</v>
      </c>
      <c r="V95" s="98">
        <f t="shared" si="78"/>
        <v>0</v>
      </c>
      <c r="W95" s="98">
        <f t="shared" ref="W95:X95" si="79">W26 * thousand * W55 / hundred</f>
        <v>0</v>
      </c>
      <c r="X95" s="98">
        <f t="shared" si="79"/>
        <v>0</v>
      </c>
      <c r="Y95" s="98">
        <f t="shared" ref="Y95:Z95" si="80">Y26 * thousand * Y55 / hundred</f>
        <v>0</v>
      </c>
      <c r="Z95" s="98">
        <f t="shared" si="80"/>
        <v>0</v>
      </c>
      <c r="AA95" s="98">
        <f t="shared" ref="AA95:AB95" si="81">AA26 * thousand * AA55 / hundred</f>
        <v>0</v>
      </c>
      <c r="AB95" s="98">
        <f t="shared" si="81"/>
        <v>0</v>
      </c>
    </row>
    <row r="96" spans="3:30" x14ac:dyDescent="0.25">
      <c r="E96" s="28"/>
      <c r="F96" t="s">
        <v>157</v>
      </c>
      <c r="G96" s="13" t="s">
        <v>276</v>
      </c>
      <c r="H96" s="98">
        <f t="shared" si="65"/>
        <v>394185.70030024688</v>
      </c>
      <c r="J96" s="98">
        <f t="shared" ref="J96:K96" si="82">J27 * thousand * J56 / hundred</f>
        <v>320540.41994576983</v>
      </c>
      <c r="K96" s="98">
        <f t="shared" si="82"/>
        <v>1835.7699238679195</v>
      </c>
      <c r="L96" s="98">
        <f t="shared" ref="L96:M96" si="83">L27 * thousand * L56 / hundred</f>
        <v>22453.363356510097</v>
      </c>
      <c r="M96" s="98">
        <f t="shared" si="83"/>
        <v>0</v>
      </c>
      <c r="N96" s="98">
        <f t="shared" ref="N96:P96" si="84">N27 * thousand * N56 / hundred</f>
        <v>46405.794140000005</v>
      </c>
      <c r="O96" s="98">
        <f t="shared" si="84"/>
        <v>0</v>
      </c>
      <c r="P96" s="98">
        <f t="shared" si="84"/>
        <v>0</v>
      </c>
      <c r="Q96" s="98">
        <f t="shared" ref="Q96:S96" si="85">Q27 * thousand * Q56 / hundred</f>
        <v>0</v>
      </c>
      <c r="R96" s="98">
        <f t="shared" si="85"/>
        <v>0</v>
      </c>
      <c r="S96" s="98">
        <f t="shared" si="85"/>
        <v>0</v>
      </c>
      <c r="T96" s="98">
        <f t="shared" ref="T96:V96" si="86">T27 * thousand * T56 / hundred</f>
        <v>2950.6642060976224</v>
      </c>
      <c r="U96" s="98">
        <f t="shared" si="86"/>
        <v>-0.31127199854326681</v>
      </c>
      <c r="V96" s="98">
        <f t="shared" si="86"/>
        <v>0</v>
      </c>
      <c r="W96" s="98">
        <f t="shared" ref="W96:X96" si="87">W27 * thousand * W56 / hundred</f>
        <v>0</v>
      </c>
      <c r="X96" s="98">
        <f t="shared" si="87"/>
        <v>0</v>
      </c>
      <c r="Y96" s="98">
        <f t="shared" ref="Y96:Z96" si="88">Y27 * thousand * Y56 / hundred</f>
        <v>0</v>
      </c>
      <c r="Z96" s="98">
        <f t="shared" si="88"/>
        <v>0</v>
      </c>
      <c r="AA96" s="98">
        <f t="shared" ref="AA96:AB96" si="89">AA27 * thousand * AA56 / hundred</f>
        <v>0</v>
      </c>
      <c r="AB96" s="98">
        <f t="shared" si="89"/>
        <v>0</v>
      </c>
    </row>
    <row r="97" spans="3:28" x14ac:dyDescent="0.25">
      <c r="E97" s="28"/>
      <c r="F97" s="23" t="s">
        <v>158</v>
      </c>
      <c r="G97" s="85" t="s">
        <v>276</v>
      </c>
      <c r="H97" s="126">
        <f t="shared" si="65"/>
        <v>466081.59643548389</v>
      </c>
      <c r="I97" s="23"/>
      <c r="J97" s="126">
        <f t="shared" ref="J97:K97" si="90" xml:space="preserve"> J28 * J57 * days_in_year / hundred</f>
        <v>447914.15825806453</v>
      </c>
      <c r="K97" s="126">
        <f t="shared" si="90"/>
        <v>0</v>
      </c>
      <c r="L97" s="126">
        <f t="shared" ref="L97:M97" si="91" xml:space="preserve"> L28 * L57 * days_in_year / hundred</f>
        <v>14189.522177419356</v>
      </c>
      <c r="M97" s="126">
        <f t="shared" si="91"/>
        <v>0</v>
      </c>
      <c r="N97" s="126">
        <f t="shared" ref="N97:P97" si="92" xml:space="preserve"> N28 * N57 * days_in_year / hundred</f>
        <v>3977.9159999999997</v>
      </c>
      <c r="O97" s="126">
        <f t="shared" si="92"/>
        <v>0</v>
      </c>
      <c r="P97" s="126">
        <f t="shared" si="92"/>
        <v>0</v>
      </c>
      <c r="Q97" s="126">
        <f t="shared" ref="Q97:S97" si="93" xml:space="preserve"> Q28 * Q57 * days_in_year / hundred</f>
        <v>0</v>
      </c>
      <c r="R97" s="126">
        <f t="shared" si="93"/>
        <v>0</v>
      </c>
      <c r="S97" s="126">
        <f t="shared" si="93"/>
        <v>0</v>
      </c>
      <c r="T97" s="126">
        <f t="shared" ref="T97:V97" si="94" xml:space="preserve"> T28 * T57 * days_in_year / hundred</f>
        <v>0</v>
      </c>
      <c r="U97" s="126">
        <f t="shared" si="94"/>
        <v>0</v>
      </c>
      <c r="V97" s="126">
        <f t="shared" si="94"/>
        <v>0</v>
      </c>
      <c r="W97" s="126">
        <f t="shared" ref="W97:X97" si="95" xml:space="preserve"> W28 * W57 * days_in_year / hundred</f>
        <v>0</v>
      </c>
      <c r="X97" s="126">
        <f t="shared" si="95"/>
        <v>0</v>
      </c>
      <c r="Y97" s="126">
        <f t="shared" ref="Y97:Z97" si="96" xml:space="preserve"> Y28 * Y57 * days_in_year / hundred</f>
        <v>0</v>
      </c>
      <c r="Z97" s="126">
        <f t="shared" si="96"/>
        <v>0</v>
      </c>
      <c r="AA97" s="126">
        <f t="shared" ref="AA97:AB97" si="97" xml:space="preserve"> AA28 * AA57 * days_in_year / hundred</f>
        <v>0</v>
      </c>
      <c r="AB97" s="126">
        <f t="shared" si="97"/>
        <v>0</v>
      </c>
    </row>
    <row r="98" spans="3:28" x14ac:dyDescent="0.25">
      <c r="E98" s="28"/>
      <c r="F98" t="s">
        <v>159</v>
      </c>
      <c r="G98" s="13" t="s">
        <v>276</v>
      </c>
      <c r="H98" s="98">
        <f t="shared" si="65"/>
        <v>57715.843999999997</v>
      </c>
      <c r="J98" s="98">
        <f t="shared" ref="J98:K98" si="98" xml:space="preserve"> J29 * J58 * days_in_year / hundred</f>
        <v>0</v>
      </c>
      <c r="K98" s="98">
        <f t="shared" si="98"/>
        <v>0</v>
      </c>
      <c r="L98" s="98">
        <f t="shared" ref="L98:M98" si="99" xml:space="preserve"> L29 * L58 * days_in_year / hundred</f>
        <v>0</v>
      </c>
      <c r="M98" s="98">
        <f t="shared" si="99"/>
        <v>0</v>
      </c>
      <c r="N98" s="98">
        <f t="shared" ref="N98:P98" si="100" xml:space="preserve"> N29 * N58 * days_in_year / hundred</f>
        <v>57715.843999999997</v>
      </c>
      <c r="O98" s="98">
        <f t="shared" si="100"/>
        <v>0</v>
      </c>
      <c r="P98" s="98">
        <f t="shared" si="100"/>
        <v>0</v>
      </c>
      <c r="Q98" s="98">
        <f t="shared" ref="Q98:S98" si="101" xml:space="preserve"> Q29 * Q58 * days_in_year / hundred</f>
        <v>0</v>
      </c>
      <c r="R98" s="98">
        <f t="shared" si="101"/>
        <v>0</v>
      </c>
      <c r="S98" s="98">
        <f t="shared" si="101"/>
        <v>0</v>
      </c>
      <c r="T98" s="98">
        <f t="shared" ref="T98:V98" si="102" xml:space="preserve"> T29 * T58 * days_in_year / hundred</f>
        <v>0</v>
      </c>
      <c r="U98" s="98">
        <f t="shared" si="102"/>
        <v>0</v>
      </c>
      <c r="V98" s="98">
        <f t="shared" si="102"/>
        <v>0</v>
      </c>
      <c r="W98" s="98">
        <f t="shared" ref="W98:X98" si="103" xml:space="preserve"> W29 * W58 * days_in_year / hundred</f>
        <v>0</v>
      </c>
      <c r="X98" s="98">
        <f t="shared" si="103"/>
        <v>0</v>
      </c>
      <c r="Y98" s="98">
        <f t="shared" ref="Y98:Z98" si="104" xml:space="preserve"> Y29 * Y58 * days_in_year / hundred</f>
        <v>0</v>
      </c>
      <c r="Z98" s="98">
        <f t="shared" si="104"/>
        <v>0</v>
      </c>
      <c r="AA98" s="98">
        <f t="shared" ref="AA98:AB98" si="105" xml:space="preserve"> AA29 * AA58 * days_in_year / hundred</f>
        <v>0</v>
      </c>
      <c r="AB98" s="98">
        <f t="shared" si="105"/>
        <v>0</v>
      </c>
    </row>
    <row r="99" spans="3:28" x14ac:dyDescent="0.25">
      <c r="E99" s="28"/>
      <c r="F99" t="s">
        <v>160</v>
      </c>
      <c r="G99" s="13" t="s">
        <v>276</v>
      </c>
      <c r="H99" s="98">
        <f t="shared" si="65"/>
        <v>341.73855000000003</v>
      </c>
      <c r="J99" s="98">
        <f t="shared" ref="J99:K99" si="106" xml:space="preserve"> J30 * J59 * days_in_year / hundred</f>
        <v>0</v>
      </c>
      <c r="K99" s="98">
        <f t="shared" si="106"/>
        <v>0</v>
      </c>
      <c r="L99" s="98">
        <f t="shared" ref="L99:M99" si="107" xml:space="preserve"> L30 * L59 * days_in_year / hundred</f>
        <v>0</v>
      </c>
      <c r="M99" s="98">
        <f t="shared" si="107"/>
        <v>0</v>
      </c>
      <c r="N99" s="98">
        <f t="shared" ref="N99:P99" si="108" xml:space="preserve"> N30 * N59 * days_in_year / hundred</f>
        <v>341.73855000000003</v>
      </c>
      <c r="O99" s="98">
        <f t="shared" si="108"/>
        <v>0</v>
      </c>
      <c r="P99" s="98">
        <f t="shared" si="108"/>
        <v>0</v>
      </c>
      <c r="Q99" s="98">
        <f t="shared" ref="Q99:S99" si="109" xml:space="preserve"> Q30 * Q59 * days_in_year / hundred</f>
        <v>0</v>
      </c>
      <c r="R99" s="98">
        <f t="shared" si="109"/>
        <v>0</v>
      </c>
      <c r="S99" s="98">
        <f t="shared" si="109"/>
        <v>0</v>
      </c>
      <c r="T99" s="98">
        <f t="shared" ref="T99:V99" si="110" xml:space="preserve"> T30 * T59 * days_in_year / hundred</f>
        <v>0</v>
      </c>
      <c r="U99" s="98">
        <f t="shared" si="110"/>
        <v>0</v>
      </c>
      <c r="V99" s="98">
        <f t="shared" si="110"/>
        <v>0</v>
      </c>
      <c r="W99" s="98">
        <f t="shared" ref="W99:X99" si="111" xml:space="preserve"> W30 * W59 * days_in_year / hundred</f>
        <v>0</v>
      </c>
      <c r="X99" s="98">
        <f t="shared" si="111"/>
        <v>0</v>
      </c>
      <c r="Y99" s="98">
        <f t="shared" ref="Y99:Z99" si="112" xml:space="preserve"> Y30 * Y59 * days_in_year / hundred</f>
        <v>0</v>
      </c>
      <c r="Z99" s="98">
        <f t="shared" si="112"/>
        <v>0</v>
      </c>
      <c r="AA99" s="98">
        <f t="shared" ref="AA99:AB99" si="113" xml:space="preserve"> AA30 * AA59 * days_in_year / hundred</f>
        <v>0</v>
      </c>
      <c r="AB99" s="98">
        <f t="shared" si="113"/>
        <v>0</v>
      </c>
    </row>
    <row r="100" spans="3:28" x14ac:dyDescent="0.25">
      <c r="E100" s="28"/>
      <c r="F100" s="23" t="s">
        <v>161</v>
      </c>
      <c r="G100" s="85" t="s">
        <v>276</v>
      </c>
      <c r="H100" s="126">
        <f t="shared" si="65"/>
        <v>1338.48</v>
      </c>
      <c r="I100" s="23"/>
      <c r="J100" s="126">
        <f t="shared" ref="J100:K100" si="114">J31 * thousand * J60 / hundred</f>
        <v>0</v>
      </c>
      <c r="K100" s="126">
        <f t="shared" si="114"/>
        <v>0</v>
      </c>
      <c r="L100" s="126">
        <f t="shared" ref="L100:M100" si="115">L31 * thousand * L60 / hundred</f>
        <v>0</v>
      </c>
      <c r="M100" s="126">
        <f t="shared" si="115"/>
        <v>0</v>
      </c>
      <c r="N100" s="126">
        <f t="shared" ref="N100:P100" si="116">N31 * thousand * N60 / hundred</f>
        <v>1338.48</v>
      </c>
      <c r="O100" s="126">
        <f t="shared" si="116"/>
        <v>0</v>
      </c>
      <c r="P100" s="126">
        <f t="shared" si="116"/>
        <v>0</v>
      </c>
      <c r="Q100" s="126">
        <f t="shared" ref="Q100:S100" si="117">Q31 * thousand * Q60 / hundred</f>
        <v>0</v>
      </c>
      <c r="R100" s="126">
        <f t="shared" si="117"/>
        <v>0</v>
      </c>
      <c r="S100" s="126">
        <f t="shared" si="117"/>
        <v>0</v>
      </c>
      <c r="T100" s="126">
        <f t="shared" ref="T100:V100" si="118">T31 * thousand * T60 / hundred</f>
        <v>0</v>
      </c>
      <c r="U100" s="126">
        <f t="shared" si="118"/>
        <v>0</v>
      </c>
      <c r="V100" s="126">
        <f t="shared" si="118"/>
        <v>0</v>
      </c>
      <c r="W100" s="126">
        <f t="shared" ref="W100:X100" si="119">W31 * thousand * W60 / hundred</f>
        <v>0</v>
      </c>
      <c r="X100" s="126">
        <f t="shared" si="119"/>
        <v>0</v>
      </c>
      <c r="Y100" s="126">
        <f t="shared" ref="Y100:Z100" si="120">Y31 * thousand * Y60 / hundred</f>
        <v>0</v>
      </c>
      <c r="Z100" s="126">
        <f t="shared" si="120"/>
        <v>0</v>
      </c>
      <c r="AA100" s="126">
        <f t="shared" ref="AA100:AB100" si="121">AA31 * thousand * AA60 / hundred</f>
        <v>0</v>
      </c>
      <c r="AB100" s="126">
        <f t="shared" si="121"/>
        <v>0</v>
      </c>
    </row>
    <row r="101" spans="3:28" x14ac:dyDescent="0.25">
      <c r="E101" s="28"/>
      <c r="F101" s="108" t="s">
        <v>99</v>
      </c>
      <c r="G101" s="218" t="s">
        <v>276</v>
      </c>
      <c r="H101" s="153">
        <f>SUM(H94:H100)</f>
        <v>2623349.4721436724</v>
      </c>
      <c r="I101" s="108"/>
      <c r="J101" s="153">
        <f t="shared" ref="J101:K101" si="122">SUM(J94:J100)</f>
        <v>2220811.964710908</v>
      </c>
      <c r="K101" s="153">
        <f t="shared" si="122"/>
        <v>2235.6124222585095</v>
      </c>
      <c r="L101" s="153">
        <f t="shared" ref="L101:M101" si="123">SUM(L94:L100)</f>
        <v>122230.73682547637</v>
      </c>
      <c r="M101" s="153">
        <f t="shared" si="123"/>
        <v>0</v>
      </c>
      <c r="N101" s="153">
        <f t="shared" ref="N101:P101" si="124">SUM(N94:N100)</f>
        <v>268431.90529000002</v>
      </c>
      <c r="O101" s="153">
        <f t="shared" si="124"/>
        <v>0</v>
      </c>
      <c r="P101" s="153">
        <f t="shared" si="124"/>
        <v>0</v>
      </c>
      <c r="Q101" s="153">
        <f t="shared" ref="Q101:S101" si="125">SUM(Q94:Q100)</f>
        <v>0</v>
      </c>
      <c r="R101" s="153">
        <f t="shared" si="125"/>
        <v>0</v>
      </c>
      <c r="S101" s="153">
        <f t="shared" si="125"/>
        <v>0</v>
      </c>
      <c r="T101" s="153">
        <f t="shared" ref="T101:V101" si="126">SUM(T94:T100)</f>
        <v>9689.4382837477951</v>
      </c>
      <c r="U101" s="153">
        <f t="shared" si="126"/>
        <v>-50.185388718300302</v>
      </c>
      <c r="V101" s="153">
        <f t="shared" si="126"/>
        <v>0</v>
      </c>
      <c r="W101" s="153">
        <f t="shared" ref="W101:X101" si="127">SUM(W94:W100)</f>
        <v>0</v>
      </c>
      <c r="X101" s="153">
        <f t="shared" si="127"/>
        <v>0</v>
      </c>
      <c r="Y101" s="153">
        <f t="shared" ref="Y101:Z101" si="128">SUM(Y94:Y100)</f>
        <v>0</v>
      </c>
      <c r="Z101" s="153">
        <f t="shared" si="128"/>
        <v>0</v>
      </c>
      <c r="AA101" s="153">
        <f t="shared" ref="AA101:AB101" si="129">SUM(AA94:AA100)</f>
        <v>0</v>
      </c>
      <c r="AB101" s="153">
        <f t="shared" si="129"/>
        <v>0</v>
      </c>
    </row>
    <row r="102" spans="3:28" x14ac:dyDescent="0.25">
      <c r="E102" s="28"/>
      <c r="G102" s="13"/>
      <c r="H102" s="89"/>
      <c r="J102" s="89"/>
      <c r="K102" s="89"/>
      <c r="L102" s="89"/>
      <c r="M102" s="89"/>
      <c r="N102" s="89"/>
      <c r="O102" s="89"/>
      <c r="P102" s="89"/>
      <c r="Q102" s="89"/>
      <c r="R102" s="89"/>
      <c r="S102" s="89"/>
      <c r="T102" s="89"/>
      <c r="U102" s="89"/>
      <c r="V102" s="89"/>
      <c r="W102" s="89"/>
      <c r="X102" s="89"/>
      <c r="Y102" s="89"/>
      <c r="Z102" s="89"/>
      <c r="AA102" s="89"/>
      <c r="AB102" s="89"/>
    </row>
    <row r="103" spans="3:28" x14ac:dyDescent="0.25">
      <c r="E103" s="32" t="s">
        <v>830</v>
      </c>
      <c r="G103" s="13"/>
      <c r="H103" s="217" t="s">
        <v>544</v>
      </c>
      <c r="J103" s="89"/>
      <c r="K103" s="89"/>
      <c r="L103" s="89"/>
      <c r="M103" s="89"/>
      <c r="N103" s="89"/>
      <c r="O103" s="89"/>
      <c r="P103" s="89"/>
      <c r="Q103" s="89"/>
      <c r="R103" s="89"/>
      <c r="S103" s="89"/>
      <c r="T103" s="89"/>
      <c r="U103" s="89"/>
      <c r="V103" s="89"/>
      <c r="W103" s="89"/>
      <c r="X103" s="89"/>
      <c r="Y103" s="89"/>
      <c r="Z103" s="89"/>
      <c r="AA103" s="89"/>
      <c r="AB103" s="89"/>
    </row>
    <row r="104" spans="3:28" x14ac:dyDescent="0.25">
      <c r="C104" s="88"/>
      <c r="F104" s="23" t="s">
        <v>155</v>
      </c>
      <c r="G104" s="85" t="s">
        <v>276</v>
      </c>
      <c r="H104" s="126">
        <f t="shared" ref="H104:H110" si="130">SUM(J104:AB104)</f>
        <v>1581444.5824273122</v>
      </c>
      <c r="I104" s="23"/>
      <c r="J104" s="126">
        <f t="shared" ref="J104:K104" si="131">J34 * thousand * J63 / hundred</f>
        <v>809190.01280129468</v>
      </c>
      <c r="K104" s="126">
        <f t="shared" si="131"/>
        <v>82.435612361554433</v>
      </c>
      <c r="L104" s="126">
        <f t="shared" ref="L104:M104" si="132">L34 * thousand * L63 / hundred</f>
        <v>95801.463544242273</v>
      </c>
      <c r="M104" s="126">
        <f t="shared" si="132"/>
        <v>0</v>
      </c>
      <c r="N104" s="126">
        <f t="shared" ref="N104:P104" si="133">N34 * thousand * N63 / hundred</f>
        <v>432032.62214999995</v>
      </c>
      <c r="O104" s="126">
        <f t="shared" si="133"/>
        <v>76506.720179999989</v>
      </c>
      <c r="P104" s="126">
        <f t="shared" si="133"/>
        <v>165065.89407999997</v>
      </c>
      <c r="Q104" s="126">
        <f t="shared" ref="Q104:S104" si="134">Q34 * thousand * Q63 / hundred</f>
        <v>0</v>
      </c>
      <c r="R104" s="126">
        <f t="shared" si="134"/>
        <v>0</v>
      </c>
      <c r="S104" s="126">
        <f t="shared" si="134"/>
        <v>0</v>
      </c>
      <c r="T104" s="126">
        <f t="shared" ref="T104:V104" si="135">T34 * thousand * T63 / hundred</f>
        <v>2781.9216532918158</v>
      </c>
      <c r="U104" s="126">
        <f t="shared" si="135"/>
        <v>-16.487593878141055</v>
      </c>
      <c r="V104" s="126">
        <f t="shared" si="135"/>
        <v>0</v>
      </c>
      <c r="W104" s="126">
        <f t="shared" ref="W104:X104" si="136">W34 * thousand * W63 / hundred</f>
        <v>0</v>
      </c>
      <c r="X104" s="126">
        <f t="shared" si="136"/>
        <v>0</v>
      </c>
      <c r="Y104" s="126">
        <f t="shared" ref="Y104:Z104" si="137">Y34 * thousand * Y63 / hundred</f>
        <v>0</v>
      </c>
      <c r="Z104" s="126">
        <f t="shared" si="137"/>
        <v>0</v>
      </c>
      <c r="AA104" s="126">
        <f t="shared" ref="AA104:AB104" si="138">AA34 * thousand * AA63 / hundred</f>
        <v>0</v>
      </c>
      <c r="AB104" s="126">
        <f t="shared" si="138"/>
        <v>0</v>
      </c>
    </row>
    <row r="105" spans="3:28" x14ac:dyDescent="0.25">
      <c r="C105" s="88"/>
      <c r="F105" t="s">
        <v>156</v>
      </c>
      <c r="G105" s="13" t="s">
        <v>276</v>
      </c>
      <c r="H105" s="98">
        <f t="shared" si="130"/>
        <v>1440029.4026497549</v>
      </c>
      <c r="J105" s="98">
        <f t="shared" ref="J105:K105" si="139">J35 * thousand * J64 / hundred</f>
        <v>576326.83380795293</v>
      </c>
      <c r="K105" s="98">
        <f t="shared" si="139"/>
        <v>299.97316070574885</v>
      </c>
      <c r="L105" s="98">
        <f t="shared" ref="L105:M105" si="140">L35 * thousand * L64 / hundred</f>
        <v>97018.380097937174</v>
      </c>
      <c r="M105" s="98">
        <f t="shared" si="140"/>
        <v>0</v>
      </c>
      <c r="N105" s="98">
        <f t="shared" ref="N105:P105" si="141">N35 * thousand * N64 / hundred</f>
        <v>425721.09353999997</v>
      </c>
      <c r="O105" s="98">
        <f t="shared" si="141"/>
        <v>94772.405399999974</v>
      </c>
      <c r="P105" s="98">
        <f t="shared" si="141"/>
        <v>241948.03664999999</v>
      </c>
      <c r="Q105" s="98">
        <f t="shared" ref="Q105:S105" si="142">Q35 * thousand * Q64 / hundred</f>
        <v>0</v>
      </c>
      <c r="R105" s="98">
        <f t="shared" si="142"/>
        <v>0</v>
      </c>
      <c r="S105" s="98">
        <f t="shared" si="142"/>
        <v>0</v>
      </c>
      <c r="T105" s="98">
        <f t="shared" ref="T105:V105" si="143">T35 * thousand * T64 / hundred</f>
        <v>3948.6281272866786</v>
      </c>
      <c r="U105" s="98">
        <f t="shared" si="143"/>
        <v>-5.9481341274641295</v>
      </c>
      <c r="V105" s="98">
        <f t="shared" si="143"/>
        <v>0</v>
      </c>
      <c r="W105" s="98">
        <f t="shared" ref="W105:X105" si="144">W35 * thousand * W64 / hundred</f>
        <v>0</v>
      </c>
      <c r="X105" s="98">
        <f t="shared" si="144"/>
        <v>0</v>
      </c>
      <c r="Y105" s="98">
        <f t="shared" ref="Y105:Z105" si="145">Y35 * thousand * Y64 / hundred</f>
        <v>0</v>
      </c>
      <c r="Z105" s="98">
        <f t="shared" si="145"/>
        <v>0</v>
      </c>
      <c r="AA105" s="98">
        <f t="shared" ref="AA105:AB105" si="146">AA35 * thousand * AA64 / hundred</f>
        <v>0</v>
      </c>
      <c r="AB105" s="98">
        <f t="shared" si="146"/>
        <v>0</v>
      </c>
    </row>
    <row r="106" spans="3:28" x14ac:dyDescent="0.25">
      <c r="C106" s="88"/>
      <c r="F106" t="s">
        <v>157</v>
      </c>
      <c r="G106" s="13" t="s">
        <v>276</v>
      </c>
      <c r="H106" s="98">
        <f t="shared" si="130"/>
        <v>875473.53550893161</v>
      </c>
      <c r="J106" s="98">
        <f t="shared" ref="J106:K106" si="147">J36 * thousand * J65 / hundred</f>
        <v>306016.65730726672</v>
      </c>
      <c r="K106" s="98">
        <f t="shared" si="147"/>
        <v>1755.0250790128948</v>
      </c>
      <c r="L106" s="98">
        <f t="shared" ref="L106:M106" si="148">L36 * thousand * L65 / hundred</f>
        <v>50596.892030310082</v>
      </c>
      <c r="M106" s="98">
        <f t="shared" si="148"/>
        <v>0</v>
      </c>
      <c r="N106" s="98">
        <f t="shared" ref="N106:P106" si="149">N36 * thousand * N65 / hundred</f>
        <v>233755.17632</v>
      </c>
      <c r="O106" s="98">
        <f t="shared" si="149"/>
        <v>62507.75903999999</v>
      </c>
      <c r="P106" s="98">
        <f t="shared" si="149"/>
        <v>217863.69465000005</v>
      </c>
      <c r="Q106" s="98">
        <f t="shared" ref="Q106:S106" si="150">Q36 * thousand * Q65 / hundred</f>
        <v>0</v>
      </c>
      <c r="R106" s="98">
        <f t="shared" si="150"/>
        <v>0</v>
      </c>
      <c r="S106" s="98">
        <f t="shared" si="150"/>
        <v>0</v>
      </c>
      <c r="T106" s="98">
        <f t="shared" ref="T106:V106" si="151">T36 * thousand * T65 / hundred</f>
        <v>2978.4698271294478</v>
      </c>
      <c r="U106" s="98">
        <f t="shared" si="151"/>
        <v>-0.13874478766107345</v>
      </c>
      <c r="V106" s="98">
        <f t="shared" si="151"/>
        <v>0</v>
      </c>
      <c r="W106" s="98">
        <f t="shared" ref="W106:X106" si="152">W36 * thousand * W65 / hundred</f>
        <v>0</v>
      </c>
      <c r="X106" s="98">
        <f t="shared" si="152"/>
        <v>0</v>
      </c>
      <c r="Y106" s="98">
        <f t="shared" ref="Y106:Z106" si="153">Y36 * thousand * Y65 / hundred</f>
        <v>0</v>
      </c>
      <c r="Z106" s="98">
        <f t="shared" si="153"/>
        <v>0</v>
      </c>
      <c r="AA106" s="98">
        <f t="shared" ref="AA106:AB106" si="154">AA36 * thousand * AA65 / hundred</f>
        <v>0</v>
      </c>
      <c r="AB106" s="98">
        <f t="shared" si="154"/>
        <v>0</v>
      </c>
    </row>
    <row r="107" spans="3:28" x14ac:dyDescent="0.25">
      <c r="C107" s="88"/>
      <c r="F107" s="23" t="s">
        <v>158</v>
      </c>
      <c r="G107" s="85" t="s">
        <v>276</v>
      </c>
      <c r="H107" s="126">
        <f t="shared" si="130"/>
        <v>466373.83780645154</v>
      </c>
      <c r="I107" s="23"/>
      <c r="J107" s="126">
        <f t="shared" ref="J107:K107" si="155" xml:space="preserve"> J37 * J66 * days_in_year / hundred</f>
        <v>428806.0032258064</v>
      </c>
      <c r="K107" s="126">
        <f t="shared" si="155"/>
        <v>0</v>
      </c>
      <c r="L107" s="126">
        <f t="shared" ref="L107:M107" si="156" xml:space="preserve"> L37 * L66 * days_in_year / hundred</f>
        <v>13777.572580645161</v>
      </c>
      <c r="M107" s="126">
        <f t="shared" si="156"/>
        <v>0</v>
      </c>
      <c r="N107" s="126">
        <f t="shared" ref="N107:P107" si="157" xml:space="preserve"> N37 * N66 * days_in_year / hundred</f>
        <v>13072.11</v>
      </c>
      <c r="O107" s="126">
        <f t="shared" si="157"/>
        <v>524.79700000000003</v>
      </c>
      <c r="P107" s="126">
        <f t="shared" si="157"/>
        <v>10193.355000000001</v>
      </c>
      <c r="Q107" s="126">
        <f t="shared" ref="Q107:S107" si="158" xml:space="preserve"> Q37 * Q66 * days_in_year / hundred</f>
        <v>0</v>
      </c>
      <c r="R107" s="126">
        <f t="shared" si="158"/>
        <v>0</v>
      </c>
      <c r="S107" s="126">
        <f t="shared" si="158"/>
        <v>0</v>
      </c>
      <c r="T107" s="126">
        <f t="shared" ref="T107:V107" si="159" xml:space="preserve"> T37 * T66 * days_in_year / hundred</f>
        <v>0</v>
      </c>
      <c r="U107" s="126">
        <f t="shared" si="159"/>
        <v>0</v>
      </c>
      <c r="V107" s="126">
        <f t="shared" si="159"/>
        <v>0</v>
      </c>
      <c r="W107" s="126">
        <f t="shared" ref="W107:X107" si="160" xml:space="preserve"> W37 * W66 * days_in_year / hundred</f>
        <v>0</v>
      </c>
      <c r="X107" s="126">
        <f t="shared" si="160"/>
        <v>0</v>
      </c>
      <c r="Y107" s="126">
        <f t="shared" ref="Y107:Z107" si="161" xml:space="preserve"> Y37 * Y66 * days_in_year / hundred</f>
        <v>0</v>
      </c>
      <c r="Z107" s="126">
        <f t="shared" si="161"/>
        <v>0</v>
      </c>
      <c r="AA107" s="126">
        <f t="shared" ref="AA107:AB107" si="162" xml:space="preserve"> AA37 * AA66 * days_in_year / hundred</f>
        <v>0</v>
      </c>
      <c r="AB107" s="126">
        <f t="shared" si="162"/>
        <v>0</v>
      </c>
    </row>
    <row r="108" spans="3:28" x14ac:dyDescent="0.25">
      <c r="C108" s="88"/>
      <c r="F108" t="s">
        <v>159</v>
      </c>
      <c r="G108" s="13" t="s">
        <v>276</v>
      </c>
      <c r="H108" s="98">
        <f t="shared" si="130"/>
        <v>854304.1810000001</v>
      </c>
      <c r="J108" s="98">
        <f t="shared" ref="J108:K108" si="163" xml:space="preserve"> J38 * J67 * days_in_year / hundred</f>
        <v>0</v>
      </c>
      <c r="K108" s="98">
        <f t="shared" si="163"/>
        <v>0</v>
      </c>
      <c r="L108" s="98">
        <f t="shared" ref="L108:M108" si="164" xml:space="preserve"> L38 * L67 * days_in_year / hundred</f>
        <v>0</v>
      </c>
      <c r="M108" s="98">
        <f t="shared" si="164"/>
        <v>0</v>
      </c>
      <c r="N108" s="98">
        <f t="shared" ref="N108:P108" si="165" xml:space="preserve"> N38 * N67 * days_in_year / hundred</f>
        <v>316593.18900000001</v>
      </c>
      <c r="O108" s="98">
        <f t="shared" si="165"/>
        <v>150180.34499999997</v>
      </c>
      <c r="P108" s="98">
        <f t="shared" si="165"/>
        <v>387530.64700000006</v>
      </c>
      <c r="Q108" s="98">
        <f t="shared" ref="Q108:S108" si="166" xml:space="preserve"> Q38 * Q67 * days_in_year / hundred</f>
        <v>0</v>
      </c>
      <c r="R108" s="98">
        <f t="shared" si="166"/>
        <v>0</v>
      </c>
      <c r="S108" s="98">
        <f t="shared" si="166"/>
        <v>0</v>
      </c>
      <c r="T108" s="98">
        <f t="shared" ref="T108:V108" si="167" xml:space="preserve"> T38 * T67 * days_in_year / hundred</f>
        <v>0</v>
      </c>
      <c r="U108" s="98">
        <f t="shared" si="167"/>
        <v>0</v>
      </c>
      <c r="V108" s="98">
        <f t="shared" si="167"/>
        <v>0</v>
      </c>
      <c r="W108" s="98">
        <f t="shared" ref="W108:X108" si="168" xml:space="preserve"> W38 * W67 * days_in_year / hundred</f>
        <v>0</v>
      </c>
      <c r="X108" s="98">
        <f t="shared" si="168"/>
        <v>0</v>
      </c>
      <c r="Y108" s="98">
        <f t="shared" ref="Y108:Z108" si="169" xml:space="preserve"> Y38 * Y67 * days_in_year / hundred</f>
        <v>0</v>
      </c>
      <c r="Z108" s="98">
        <f t="shared" si="169"/>
        <v>0</v>
      </c>
      <c r="AA108" s="98">
        <f t="shared" ref="AA108:AB108" si="170" xml:space="preserve"> AA38 * AA67 * days_in_year / hundred</f>
        <v>0</v>
      </c>
      <c r="AB108" s="98">
        <f t="shared" si="170"/>
        <v>0</v>
      </c>
    </row>
    <row r="109" spans="3:28" x14ac:dyDescent="0.25">
      <c r="C109" s="88"/>
      <c r="F109" t="s">
        <v>160</v>
      </c>
      <c r="G109" s="13" t="s">
        <v>276</v>
      </c>
      <c r="H109" s="98">
        <f t="shared" si="130"/>
        <v>1172.9935650000002</v>
      </c>
      <c r="J109" s="98">
        <f t="shared" ref="J109:K109" si="171" xml:space="preserve"> J39 * J68 * days_in_year / hundred</f>
        <v>0</v>
      </c>
      <c r="K109" s="98">
        <f t="shared" si="171"/>
        <v>0</v>
      </c>
      <c r="L109" s="98">
        <f t="shared" ref="L109:M109" si="172" xml:space="preserve"> L39 * L68 * days_in_year / hundred</f>
        <v>0</v>
      </c>
      <c r="M109" s="98">
        <f t="shared" si="172"/>
        <v>0</v>
      </c>
      <c r="N109" s="98">
        <f t="shared" ref="N109:P109" si="173" xml:space="preserve"> N39 * N68 * days_in_year / hundred</f>
        <v>933.79001200000016</v>
      </c>
      <c r="O109" s="98">
        <f t="shared" si="173"/>
        <v>0</v>
      </c>
      <c r="P109" s="98">
        <f t="shared" si="173"/>
        <v>239.20355300000003</v>
      </c>
      <c r="Q109" s="98">
        <f t="shared" ref="Q109:S109" si="174" xml:space="preserve"> Q39 * Q68 * days_in_year / hundred</f>
        <v>0</v>
      </c>
      <c r="R109" s="98">
        <f t="shared" si="174"/>
        <v>0</v>
      </c>
      <c r="S109" s="98">
        <f t="shared" si="174"/>
        <v>0</v>
      </c>
      <c r="T109" s="98">
        <f t="shared" ref="T109:V109" si="175" xml:space="preserve"> T39 * T68 * days_in_year / hundred</f>
        <v>0</v>
      </c>
      <c r="U109" s="98">
        <f t="shared" si="175"/>
        <v>0</v>
      </c>
      <c r="V109" s="98">
        <f t="shared" si="175"/>
        <v>0</v>
      </c>
      <c r="W109" s="98">
        <f t="shared" ref="W109:X109" si="176" xml:space="preserve"> W39 * W68 * days_in_year / hundred</f>
        <v>0</v>
      </c>
      <c r="X109" s="98">
        <f t="shared" si="176"/>
        <v>0</v>
      </c>
      <c r="Y109" s="98">
        <f t="shared" ref="Y109:Z109" si="177" xml:space="preserve"> Y39 * Y68 * days_in_year / hundred</f>
        <v>0</v>
      </c>
      <c r="Z109" s="98">
        <f t="shared" si="177"/>
        <v>0</v>
      </c>
      <c r="AA109" s="98">
        <f t="shared" ref="AA109:AB109" si="178" xml:space="preserve"> AA39 * AA68 * days_in_year / hundred</f>
        <v>0</v>
      </c>
      <c r="AB109" s="98">
        <f t="shared" si="178"/>
        <v>0</v>
      </c>
    </row>
    <row r="110" spans="3:28" x14ac:dyDescent="0.25">
      <c r="C110" s="88"/>
      <c r="F110" s="23" t="s">
        <v>161</v>
      </c>
      <c r="G110" s="85" t="s">
        <v>276</v>
      </c>
      <c r="H110" s="126">
        <f t="shared" si="130"/>
        <v>10994.88</v>
      </c>
      <c r="I110" s="23"/>
      <c r="J110" s="126">
        <f t="shared" ref="J110:K110" si="179">J40 * thousand * J69 / hundred</f>
        <v>0</v>
      </c>
      <c r="K110" s="126">
        <f t="shared" si="179"/>
        <v>0</v>
      </c>
      <c r="L110" s="126">
        <f t="shared" ref="L110:M110" si="180">L40 * thousand * L69 / hundred</f>
        <v>0</v>
      </c>
      <c r="M110" s="126">
        <f t="shared" si="180"/>
        <v>0</v>
      </c>
      <c r="N110" s="126">
        <f t="shared" ref="N110:P110" si="181">N40 * thousand * N69 / hundred</f>
        <v>8370</v>
      </c>
      <c r="O110" s="126">
        <f t="shared" si="181"/>
        <v>1174.8</v>
      </c>
      <c r="P110" s="126">
        <f t="shared" si="181"/>
        <v>1450.08</v>
      </c>
      <c r="Q110" s="126">
        <f t="shared" ref="Q110:S110" si="182">Q40 * thousand * Q69 / hundred</f>
        <v>0</v>
      </c>
      <c r="R110" s="126">
        <f t="shared" si="182"/>
        <v>0</v>
      </c>
      <c r="S110" s="126">
        <f t="shared" si="182"/>
        <v>0</v>
      </c>
      <c r="T110" s="126">
        <f t="shared" ref="T110:V110" si="183">T40 * thousand * T69 / hundred</f>
        <v>0</v>
      </c>
      <c r="U110" s="126">
        <f t="shared" si="183"/>
        <v>0</v>
      </c>
      <c r="V110" s="126">
        <f t="shared" si="183"/>
        <v>0</v>
      </c>
      <c r="W110" s="126">
        <f t="shared" ref="W110:X110" si="184">W40 * thousand * W69 / hundred</f>
        <v>0</v>
      </c>
      <c r="X110" s="126">
        <f t="shared" si="184"/>
        <v>0</v>
      </c>
      <c r="Y110" s="126">
        <f t="shared" ref="Y110:Z110" si="185">Y40 * thousand * Y69 / hundred</f>
        <v>0</v>
      </c>
      <c r="Z110" s="126">
        <f t="shared" si="185"/>
        <v>0</v>
      </c>
      <c r="AA110" s="126">
        <f t="shared" ref="AA110:AB110" si="186">AA40 * thousand * AA69 / hundred</f>
        <v>0</v>
      </c>
      <c r="AB110" s="126">
        <f t="shared" si="186"/>
        <v>0</v>
      </c>
    </row>
    <row r="111" spans="3:28" x14ac:dyDescent="0.25">
      <c r="C111" s="88"/>
      <c r="F111" s="108" t="s">
        <v>99</v>
      </c>
      <c r="G111" s="218" t="s">
        <v>276</v>
      </c>
      <c r="H111" s="153">
        <f>SUM(H104:H110)</f>
        <v>5229793.4129574494</v>
      </c>
      <c r="I111" s="108"/>
      <c r="J111" s="153">
        <f t="shared" ref="J111:K111" si="187">SUM(J104:J110)</f>
        <v>2120339.5071423207</v>
      </c>
      <c r="K111" s="153">
        <f t="shared" si="187"/>
        <v>2137.433852080198</v>
      </c>
      <c r="L111" s="153">
        <f t="shared" ref="L111:M111" si="188">SUM(L104:L110)</f>
        <v>257194.30825313469</v>
      </c>
      <c r="M111" s="153">
        <f t="shared" si="188"/>
        <v>0</v>
      </c>
      <c r="N111" s="153">
        <f t="shared" ref="N111:P111" si="189">SUM(N104:N110)</f>
        <v>1430477.9810220001</v>
      </c>
      <c r="O111" s="153">
        <f t="shared" si="189"/>
        <v>385666.82661999989</v>
      </c>
      <c r="P111" s="153">
        <f t="shared" si="189"/>
        <v>1024290.9109329999</v>
      </c>
      <c r="Q111" s="153">
        <f t="shared" ref="Q111:S111" si="190">SUM(Q104:Q110)</f>
        <v>0</v>
      </c>
      <c r="R111" s="153">
        <f t="shared" si="190"/>
        <v>0</v>
      </c>
      <c r="S111" s="153">
        <f t="shared" si="190"/>
        <v>0</v>
      </c>
      <c r="T111" s="153">
        <f t="shared" ref="T111:V111" si="191">SUM(T104:T110)</f>
        <v>9709.0196077079418</v>
      </c>
      <c r="U111" s="153">
        <f t="shared" si="191"/>
        <v>-22.57447279326626</v>
      </c>
      <c r="V111" s="153">
        <f t="shared" si="191"/>
        <v>0</v>
      </c>
      <c r="W111" s="153">
        <f t="shared" ref="W111:X111" si="192">SUM(W104:W110)</f>
        <v>0</v>
      </c>
      <c r="X111" s="153">
        <f t="shared" si="192"/>
        <v>0</v>
      </c>
      <c r="Y111" s="153">
        <f t="shared" ref="Y111:Z111" si="193">SUM(Y104:Y110)</f>
        <v>0</v>
      </c>
      <c r="Z111" s="153">
        <f t="shared" si="193"/>
        <v>0</v>
      </c>
      <c r="AA111" s="153">
        <f t="shared" ref="AA111:AB111" si="194">SUM(AA104:AA110)</f>
        <v>0</v>
      </c>
      <c r="AB111" s="153">
        <f t="shared" si="194"/>
        <v>0</v>
      </c>
    </row>
    <row r="112" spans="3:28" x14ac:dyDescent="0.25">
      <c r="C112" s="88"/>
      <c r="D112" s="2"/>
      <c r="E112" s="2"/>
      <c r="G112" s="13"/>
      <c r="H112" s="89"/>
      <c r="J112" s="89"/>
      <c r="K112" s="89"/>
      <c r="L112" s="89"/>
      <c r="M112" s="89"/>
      <c r="N112" s="89"/>
      <c r="O112" s="89"/>
      <c r="P112" s="89"/>
      <c r="Q112" s="89"/>
      <c r="R112" s="89"/>
      <c r="S112" s="89"/>
      <c r="T112" s="89"/>
      <c r="U112" s="89"/>
      <c r="V112" s="89"/>
      <c r="W112" s="89"/>
      <c r="X112" s="89"/>
      <c r="Y112" s="89"/>
      <c r="Z112" s="89"/>
      <c r="AA112" s="89"/>
      <c r="AB112" s="89"/>
    </row>
    <row r="113" spans="3:30" x14ac:dyDescent="0.25">
      <c r="C113" s="31" t="str">
        <f ca="1">INDEX('Version control'!$H$34:$H$57,MATCH($A$1,'Version control'!$F$34:$F$57,0),1)&amp;"-E: Net revenue summary (for information only)"</f>
        <v>Section 118-E: Net revenue summary (for information only)</v>
      </c>
      <c r="D113" s="31"/>
      <c r="E113" s="31"/>
      <c r="F113" s="31"/>
      <c r="G113" s="31"/>
      <c r="H113" s="90"/>
      <c r="I113" s="31"/>
      <c r="J113" s="90"/>
      <c r="K113" s="90"/>
      <c r="L113" s="90"/>
      <c r="M113" s="90"/>
      <c r="N113" s="90"/>
      <c r="O113" s="90"/>
      <c r="P113" s="90"/>
      <c r="Q113" s="90"/>
      <c r="R113" s="90"/>
      <c r="S113" s="90"/>
      <c r="T113" s="90"/>
      <c r="U113" s="90"/>
      <c r="V113" s="90"/>
      <c r="W113" s="90"/>
      <c r="X113" s="90"/>
      <c r="Y113" s="90"/>
      <c r="Z113" s="90"/>
      <c r="AA113" s="90"/>
      <c r="AB113" s="90"/>
      <c r="AC113" s="31"/>
      <c r="AD113" s="31"/>
    </row>
    <row r="114" spans="3:30" x14ac:dyDescent="0.25">
      <c r="F114" s="3"/>
      <c r="G114" s="216"/>
      <c r="H114" s="127"/>
      <c r="I114" s="3"/>
      <c r="J114" s="89"/>
      <c r="K114" s="89"/>
      <c r="L114" s="89"/>
      <c r="M114" s="89"/>
      <c r="N114" s="89"/>
      <c r="O114" s="89"/>
      <c r="P114" s="89"/>
      <c r="Q114" s="89"/>
      <c r="R114" s="89"/>
      <c r="S114" s="89"/>
      <c r="T114" s="89"/>
      <c r="U114" s="89"/>
      <c r="V114" s="89"/>
      <c r="W114" s="89"/>
      <c r="X114" s="89"/>
      <c r="Y114" s="89"/>
      <c r="Z114" s="89"/>
      <c r="AA114" s="89"/>
      <c r="AB114" s="89"/>
    </row>
    <row r="115" spans="3:30" x14ac:dyDescent="0.25">
      <c r="E115" t="s">
        <v>737</v>
      </c>
      <c r="G115" s="13" t="s">
        <v>276</v>
      </c>
      <c r="H115" s="219">
        <f>H73</f>
        <v>417181725.07818514</v>
      </c>
      <c r="J115" s="199"/>
      <c r="K115" s="199"/>
      <c r="L115" s="199"/>
      <c r="M115" s="199"/>
      <c r="N115" s="199"/>
      <c r="O115" s="199"/>
      <c r="P115" s="199"/>
      <c r="Q115" s="199"/>
      <c r="R115" s="199"/>
      <c r="S115" s="199"/>
      <c r="T115" s="199"/>
      <c r="U115" s="199"/>
      <c r="V115" s="199"/>
      <c r="W115" s="199"/>
      <c r="X115" s="199"/>
      <c r="Y115" s="199"/>
      <c r="Z115" s="199"/>
      <c r="AA115" s="199"/>
      <c r="AB115" s="199"/>
    </row>
    <row r="116" spans="3:30" x14ac:dyDescent="0.25">
      <c r="E116" t="s">
        <v>831</v>
      </c>
      <c r="G116" s="13" t="s">
        <v>276</v>
      </c>
      <c r="H116" s="219">
        <f t="shared" ref="H116:H119" si="195">H74</f>
        <v>241976393.59082356</v>
      </c>
      <c r="J116" s="199"/>
      <c r="K116" s="199"/>
      <c r="L116" s="199"/>
      <c r="M116" s="199"/>
      <c r="N116" s="199"/>
      <c r="O116" s="199"/>
      <c r="P116" s="199"/>
      <c r="Q116" s="199"/>
      <c r="R116" s="199"/>
      <c r="S116" s="199"/>
      <c r="T116" s="199"/>
      <c r="U116" s="199"/>
      <c r="V116" s="199"/>
      <c r="W116" s="199"/>
      <c r="X116" s="199"/>
      <c r="Y116" s="199"/>
      <c r="Z116" s="199"/>
      <c r="AA116" s="199"/>
      <c r="AB116" s="199"/>
    </row>
    <row r="117" spans="3:30" x14ac:dyDescent="0.25">
      <c r="E117" t="s">
        <v>1008</v>
      </c>
      <c r="G117" s="13" t="s">
        <v>276</v>
      </c>
      <c r="H117" s="219">
        <f t="shared" si="195"/>
        <v>173740878.11278296</v>
      </c>
      <c r="J117" s="199"/>
      <c r="K117" s="199"/>
      <c r="L117" s="199"/>
      <c r="M117" s="199"/>
      <c r="N117" s="199"/>
      <c r="O117" s="199"/>
      <c r="P117" s="199"/>
      <c r="Q117" s="199"/>
      <c r="R117" s="199"/>
      <c r="S117" s="199"/>
      <c r="T117" s="199"/>
      <c r="U117" s="199"/>
      <c r="V117" s="199"/>
      <c r="W117" s="199"/>
      <c r="X117" s="199"/>
      <c r="Y117" s="199"/>
      <c r="Z117" s="199"/>
      <c r="AA117" s="199"/>
      <c r="AB117" s="199"/>
    </row>
    <row r="118" spans="3:30" x14ac:dyDescent="0.25">
      <c r="E118" t="s">
        <v>1009</v>
      </c>
      <c r="G118" s="13" t="s">
        <v>276</v>
      </c>
      <c r="H118" s="219">
        <f t="shared" si="195"/>
        <v>1462250.7520363859</v>
      </c>
      <c r="J118" s="199"/>
      <c r="K118" s="199"/>
      <c r="L118" s="199"/>
      <c r="M118" s="199"/>
      <c r="N118" s="199"/>
      <c r="O118" s="199"/>
      <c r="P118" s="199"/>
      <c r="Q118" s="199"/>
      <c r="R118" s="199"/>
      <c r="S118" s="199"/>
      <c r="T118" s="199"/>
      <c r="U118" s="199"/>
      <c r="V118" s="199"/>
      <c r="W118" s="199"/>
      <c r="X118" s="199"/>
      <c r="Y118" s="199"/>
      <c r="Z118" s="199"/>
      <c r="AA118" s="199"/>
      <c r="AB118" s="199"/>
    </row>
    <row r="119" spans="3:30" x14ac:dyDescent="0.25">
      <c r="E119" t="s">
        <v>1010</v>
      </c>
      <c r="G119" s="13" t="s">
        <v>276</v>
      </c>
      <c r="H119" s="219">
        <f t="shared" si="195"/>
        <v>2202.6225422031271</v>
      </c>
      <c r="J119" s="199"/>
      <c r="K119" s="199"/>
      <c r="L119" s="199"/>
      <c r="M119" s="199"/>
      <c r="N119" s="199"/>
      <c r="O119" s="199"/>
      <c r="P119" s="199"/>
      <c r="Q119" s="199"/>
      <c r="R119" s="199"/>
      <c r="S119" s="199"/>
      <c r="T119" s="199"/>
      <c r="U119" s="199"/>
      <c r="V119" s="199"/>
      <c r="W119" s="199"/>
      <c r="X119" s="199"/>
      <c r="Y119" s="199"/>
      <c r="Z119" s="199"/>
      <c r="AA119" s="199"/>
      <c r="AB119" s="199"/>
    </row>
    <row r="120" spans="3:30" x14ac:dyDescent="0.25">
      <c r="E120" t="s">
        <v>832</v>
      </c>
      <c r="G120" s="13" t="s">
        <v>276</v>
      </c>
      <c r="H120" s="219">
        <f>SUM(H91,H101,H111) - SUM(H116:H118)</f>
        <v>-23940.024302721024</v>
      </c>
      <c r="J120" s="199"/>
      <c r="K120" s="199"/>
      <c r="L120" s="199"/>
      <c r="M120" s="199"/>
      <c r="N120" s="199"/>
      <c r="O120" s="199"/>
      <c r="P120" s="199"/>
      <c r="Q120" s="199"/>
      <c r="R120" s="199"/>
      <c r="S120" s="199"/>
      <c r="T120" s="199"/>
      <c r="U120" s="199"/>
      <c r="V120" s="199"/>
      <c r="W120" s="199"/>
      <c r="X120" s="199"/>
      <c r="Y120" s="199"/>
      <c r="Z120" s="199"/>
      <c r="AA120" s="199"/>
      <c r="AB120" s="199"/>
    </row>
    <row r="121" spans="3:30" x14ac:dyDescent="0.25">
      <c r="E121" s="108" t="s">
        <v>833</v>
      </c>
      <c r="F121" s="108"/>
      <c r="G121" s="218" t="s">
        <v>276</v>
      </c>
      <c r="H121" s="220">
        <f>SUM(H116:H120)</f>
        <v>417157785.05388236</v>
      </c>
      <c r="J121" s="199"/>
      <c r="K121" s="199"/>
      <c r="L121" s="199"/>
      <c r="M121" s="199"/>
      <c r="N121" s="199"/>
      <c r="O121" s="199"/>
      <c r="P121" s="199"/>
      <c r="Q121" s="199"/>
      <c r="R121" s="199"/>
      <c r="S121" s="199"/>
      <c r="T121" s="199"/>
      <c r="U121" s="199"/>
      <c r="V121" s="199"/>
      <c r="W121" s="199"/>
      <c r="X121" s="199"/>
      <c r="Y121" s="199"/>
      <c r="Z121" s="199"/>
      <c r="AA121" s="199"/>
      <c r="AB121" s="199"/>
    </row>
    <row r="122" spans="3:30" x14ac:dyDescent="0.25">
      <c r="G122" s="13"/>
      <c r="H122" s="199"/>
      <c r="J122" s="199"/>
      <c r="K122" s="199"/>
      <c r="L122" s="199"/>
      <c r="M122" s="199"/>
      <c r="N122" s="199"/>
      <c r="O122" s="199"/>
      <c r="P122" s="199"/>
      <c r="Q122" s="199"/>
      <c r="R122" s="199"/>
      <c r="S122" s="199"/>
      <c r="T122" s="199"/>
      <c r="U122" s="199"/>
      <c r="V122" s="199"/>
      <c r="W122" s="199"/>
      <c r="X122" s="199"/>
      <c r="Y122" s="199"/>
      <c r="Z122" s="199"/>
      <c r="AA122" s="199"/>
      <c r="AB122" s="199"/>
    </row>
    <row r="123" spans="3:30" x14ac:dyDescent="0.25">
      <c r="E123" t="s">
        <v>834</v>
      </c>
      <c r="G123" s="13" t="s">
        <v>276</v>
      </c>
      <c r="H123" s="330">
        <f>H121 - H115</f>
        <v>-23940.024302780628</v>
      </c>
      <c r="J123" s="199"/>
      <c r="K123" s="199"/>
      <c r="L123" s="199"/>
      <c r="M123" s="199"/>
      <c r="N123" s="199"/>
      <c r="O123" s="199"/>
      <c r="P123" s="199"/>
      <c r="Q123" s="199"/>
      <c r="R123" s="199"/>
      <c r="S123" s="199"/>
      <c r="T123" s="199"/>
      <c r="U123" s="199"/>
      <c r="V123" s="199"/>
      <c r="W123" s="199"/>
      <c r="X123" s="199"/>
      <c r="Y123" s="199"/>
      <c r="Z123" s="199"/>
      <c r="AA123" s="199"/>
      <c r="AB123" s="199"/>
    </row>
    <row r="124" spans="3:30" x14ac:dyDescent="0.25">
      <c r="E124" t="s">
        <v>834</v>
      </c>
      <c r="G124" s="13" t="s">
        <v>166</v>
      </c>
      <c r="H124" s="331">
        <f>(H121 - H115) / H115</f>
        <v>-5.7385122270861615E-5</v>
      </c>
      <c r="J124" s="199"/>
      <c r="K124" s="199"/>
      <c r="L124" s="199"/>
      <c r="M124" s="199"/>
      <c r="N124" s="199"/>
      <c r="O124" s="199"/>
      <c r="P124" s="199"/>
      <c r="Q124" s="199"/>
      <c r="R124" s="199"/>
      <c r="S124" s="199"/>
      <c r="T124" s="199"/>
      <c r="U124" s="199"/>
      <c r="V124" s="199"/>
      <c r="W124" s="199"/>
      <c r="X124" s="199"/>
      <c r="Y124" s="199"/>
      <c r="Z124" s="199"/>
      <c r="AA124" s="199"/>
      <c r="AB124" s="199"/>
    </row>
    <row r="125" spans="3:30" x14ac:dyDescent="0.25">
      <c r="C125" s="88"/>
      <c r="D125" s="2"/>
      <c r="E125" s="2"/>
      <c r="G125" s="13"/>
      <c r="J125" s="89"/>
      <c r="K125" s="89"/>
      <c r="L125" s="89"/>
      <c r="M125" s="89"/>
      <c r="N125" s="89"/>
      <c r="O125" s="89"/>
      <c r="P125" s="89"/>
      <c r="Q125" s="89"/>
      <c r="R125" s="89"/>
      <c r="S125" s="89"/>
      <c r="T125" s="89"/>
      <c r="U125" s="89"/>
      <c r="V125" s="89"/>
      <c r="W125" s="89"/>
      <c r="X125" s="89"/>
      <c r="Y125" s="89"/>
      <c r="Z125" s="89"/>
      <c r="AA125" s="89"/>
      <c r="AB125" s="89"/>
    </row>
    <row r="126" spans="3:30" x14ac:dyDescent="0.25">
      <c r="C126" s="31" t="str">
        <f ca="1">INDEX('Version control'!$H$34:$H$57,MATCH($A$1,'Version control'!$F$34:$F$57,0),1)&amp;"-F: Typical bills"</f>
        <v>Section 118-F: Typical bills</v>
      </c>
      <c r="D126" s="31"/>
      <c r="E126" s="31"/>
      <c r="F126" s="31"/>
      <c r="G126" s="31"/>
      <c r="H126" s="31"/>
      <c r="I126" s="31"/>
      <c r="J126" s="90"/>
      <c r="K126" s="90"/>
      <c r="L126" s="90"/>
      <c r="M126" s="90"/>
      <c r="N126" s="90"/>
      <c r="O126" s="90"/>
      <c r="P126" s="90"/>
      <c r="Q126" s="90"/>
      <c r="R126" s="90"/>
      <c r="S126" s="90"/>
      <c r="T126" s="90"/>
      <c r="U126" s="90"/>
      <c r="V126" s="90"/>
      <c r="W126" s="90"/>
      <c r="X126" s="90"/>
      <c r="Y126" s="90"/>
      <c r="Z126" s="90"/>
      <c r="AA126" s="90"/>
      <c r="AB126" s="90"/>
      <c r="AC126" s="31"/>
      <c r="AD126" s="31"/>
    </row>
    <row r="127" spans="3:30" x14ac:dyDescent="0.25">
      <c r="F127" s="3"/>
      <c r="G127" s="216"/>
      <c r="H127" s="3"/>
      <c r="I127" s="3"/>
      <c r="J127" s="89"/>
      <c r="K127" s="89"/>
      <c r="L127" s="89"/>
      <c r="M127" s="89"/>
      <c r="N127" s="89"/>
      <c r="O127" s="89"/>
      <c r="P127" s="89"/>
      <c r="Q127" s="89"/>
      <c r="R127" s="89"/>
      <c r="S127" s="89"/>
      <c r="T127" s="89"/>
      <c r="U127" s="89"/>
      <c r="V127" s="89"/>
      <c r="W127" s="89"/>
      <c r="X127" s="89"/>
      <c r="Y127" s="89"/>
      <c r="Z127" s="89"/>
      <c r="AA127" s="89"/>
      <c r="AB127" s="89"/>
    </row>
    <row r="128" spans="3:30" x14ac:dyDescent="0.25">
      <c r="E128" t="s">
        <v>835</v>
      </c>
      <c r="G128" s="13" t="s">
        <v>836</v>
      </c>
      <c r="H128" t="s">
        <v>837</v>
      </c>
      <c r="J128" s="199">
        <f t="shared" ref="J128:K128" si="196" xml:space="preserve"> IF( J19 &lt;&gt; 0, J91 / J19, "")</f>
        <v>100.68392017625378</v>
      </c>
      <c r="K128" s="199">
        <f t="shared" si="196"/>
        <v>34.888232738206554</v>
      </c>
      <c r="L128" s="199">
        <f t="shared" ref="L128:M128" si="197" xml:space="preserve"> IF( L19 &lt;&gt; 0, L91 / L19, "")</f>
        <v>465.43767957090228</v>
      </c>
      <c r="M128" s="199">
        <f t="shared" si="197"/>
        <v>221.96134368468037</v>
      </c>
      <c r="N128" s="199">
        <f t="shared" ref="N128:P128" si="198" xml:space="preserve"> IF( N19 &lt;&gt; 0, N91 / N19, "")</f>
        <v>7168.5520506952917</v>
      </c>
      <c r="O128" s="199">
        <f t="shared" si="198"/>
        <v>24685.315070093893</v>
      </c>
      <c r="P128" s="199">
        <f t="shared" si="198"/>
        <v>61802.352112175802</v>
      </c>
      <c r="Q128" s="199" t="str">
        <f t="shared" ref="Q128:S128" si="199" xml:space="preserve"> IF( Q19 &lt;&gt; 0, Q91 / Q19, "")</f>
        <v/>
      </c>
      <c r="R128" s="199" t="str">
        <f t="shared" si="199"/>
        <v/>
      </c>
      <c r="S128" s="199" t="str">
        <f t="shared" si="199"/>
        <v/>
      </c>
      <c r="T128" s="199">
        <f t="shared" ref="T128:V128" si="200" xml:space="preserve"> IF( T19 &lt;&gt; 0, T91 / T19, "")</f>
        <v>1518.9926959471811</v>
      </c>
      <c r="U128" s="199">
        <f t="shared" si="200"/>
        <v>-77.999909975132709</v>
      </c>
      <c r="V128" s="199">
        <f t="shared" si="200"/>
        <v>-57.73277344149318</v>
      </c>
      <c r="W128" s="199">
        <f t="shared" ref="W128:X128" si="201" xml:space="preserve"> IF( W19 &lt;&gt; 0, W91 / W19, "")</f>
        <v>-1196.0325207902247</v>
      </c>
      <c r="X128" s="199" t="str">
        <f t="shared" si="201"/>
        <v/>
      </c>
      <c r="Y128" s="199">
        <f t="shared" ref="Y128:Z128" si="202" xml:space="preserve"> IF( Y19 &lt;&gt; 0, Y91 / Y19, "")</f>
        <v>-1358.8780393739776</v>
      </c>
      <c r="Z128" s="199" t="str">
        <f t="shared" si="202"/>
        <v/>
      </c>
      <c r="AA128" s="199">
        <f t="shared" ref="AA128:AB128" si="203" xml:space="preserve"> IF( AA19 &lt;&gt; 0, AA91 / AA19, "")</f>
        <v>-22197.491012965707</v>
      </c>
      <c r="AB128" s="199" t="str">
        <f t="shared" si="203"/>
        <v/>
      </c>
    </row>
    <row r="129" spans="2:30" x14ac:dyDescent="0.25">
      <c r="E129" t="s">
        <v>838</v>
      </c>
      <c r="G129" s="13" t="s">
        <v>836</v>
      </c>
      <c r="H129" t="s">
        <v>447</v>
      </c>
      <c r="J129" s="98">
        <f t="shared" ref="J129:K129" si="204" xml:space="preserve"> IF( J28 &lt;&gt; 0, J101 / J28, "")</f>
        <v>53.929466829318805</v>
      </c>
      <c r="K129" s="98">
        <f t="shared" si="204"/>
        <v>33.367349585947899</v>
      </c>
      <c r="L129" s="98">
        <f t="shared" ref="L129:M129" si="205" xml:space="preserve"> IF( L28 &lt;&gt; 0, L101 / L28, "")</f>
        <v>117.90624020878636</v>
      </c>
      <c r="M129" s="98" t="str">
        <f t="shared" si="205"/>
        <v/>
      </c>
      <c r="N129" s="98">
        <f t="shared" ref="N129:P129" si="206" xml:space="preserve"> IF( N28 &lt;&gt; 0, N101 / N28, "")</f>
        <v>3531.9987538157898</v>
      </c>
      <c r="O129" s="98" t="str">
        <f t="shared" si="206"/>
        <v/>
      </c>
      <c r="P129" s="98" t="str">
        <f t="shared" si="206"/>
        <v/>
      </c>
      <c r="Q129" s="98" t="str">
        <f t="shared" ref="Q129:S129" si="207" xml:space="preserve"> IF( Q28 &lt;&gt; 0, Q101 / Q28, "")</f>
        <v/>
      </c>
      <c r="R129" s="98" t="str">
        <f t="shared" si="207"/>
        <v/>
      </c>
      <c r="S129" s="98" t="str">
        <f t="shared" si="207"/>
        <v/>
      </c>
      <c r="T129" s="98">
        <f t="shared" ref="T129:V129" si="208" xml:space="preserve"> IF( T28 &lt;&gt; 0, T101 / T28, "")</f>
        <v>284.9834789337587</v>
      </c>
      <c r="U129" s="98">
        <f t="shared" si="208"/>
        <v>-16.728462906100102</v>
      </c>
      <c r="V129" s="98" t="str">
        <f t="shared" si="208"/>
        <v/>
      </c>
      <c r="W129" s="98" t="str">
        <f t="shared" ref="W129:X129" si="209" xml:space="preserve"> IF( W28 &lt;&gt; 0, W101 / W28, "")</f>
        <v/>
      </c>
      <c r="X129" s="98" t="str">
        <f t="shared" si="209"/>
        <v/>
      </c>
      <c r="Y129" s="98" t="str">
        <f t="shared" ref="Y129:Z129" si="210" xml:space="preserve"> IF( Y28 &lt;&gt; 0, Y101 / Y28, "")</f>
        <v/>
      </c>
      <c r="Z129" s="98" t="str">
        <f t="shared" si="210"/>
        <v/>
      </c>
      <c r="AA129" s="98" t="str">
        <f t="shared" ref="AA129:AB129" si="211" xml:space="preserve"> IF( AA28 &lt;&gt; 0, AA101 / AA28, "")</f>
        <v/>
      </c>
      <c r="AB129" s="98" t="str">
        <f t="shared" si="211"/>
        <v/>
      </c>
    </row>
    <row r="130" spans="2:30" x14ac:dyDescent="0.25">
      <c r="E130" t="s">
        <v>839</v>
      </c>
      <c r="G130" s="13" t="s">
        <v>836</v>
      </c>
      <c r="H130" t="s">
        <v>448</v>
      </c>
      <c r="J130" s="98">
        <f t="shared" ref="J130:K130" si="212" xml:space="preserve"> IF( J37 &lt;&gt; 0, J111 / J37, "")</f>
        <v>36.096692410316081</v>
      </c>
      <c r="K130" s="98">
        <f t="shared" si="212"/>
        <v>27.245250581614364</v>
      </c>
      <c r="L130" s="98">
        <f t="shared" ref="L130:M130" si="213" xml:space="preserve"> IF( L37 &lt;&gt; 0, L111 / L37, "")</f>
        <v>170.34191248658666</v>
      </c>
      <c r="M130" s="98" t="str">
        <f t="shared" si="213"/>
        <v/>
      </c>
      <c r="N130" s="98">
        <f t="shared" ref="N130:P130" si="214" xml:space="preserve"> IF( N37 &lt;&gt; 0, N111 / N37, "")</f>
        <v>3754.5353832598425</v>
      </c>
      <c r="O130" s="98">
        <f t="shared" si="214"/>
        <v>14833.339485384611</v>
      </c>
      <c r="P130" s="98">
        <f t="shared" si="214"/>
        <v>34143.030364433333</v>
      </c>
      <c r="Q130" s="98" t="str">
        <f t="shared" ref="Q130:S130" si="215" xml:space="preserve"> IF( Q37 &lt;&gt; 0, Q111 / Q37, "")</f>
        <v/>
      </c>
      <c r="R130" s="98" t="str">
        <f t="shared" si="215"/>
        <v/>
      </c>
      <c r="S130" s="98" t="str">
        <f t="shared" si="215"/>
        <v/>
      </c>
      <c r="T130" s="98">
        <f t="shared" ref="T130:V130" si="216" xml:space="preserve"> IF( T37 &lt;&gt; 0, T111 / T37, "")</f>
        <v>211.06564364582482</v>
      </c>
      <c r="U130" s="98">
        <f t="shared" si="216"/>
        <v>-4.5148945586532516</v>
      </c>
      <c r="V130" s="98" t="str">
        <f t="shared" si="216"/>
        <v/>
      </c>
      <c r="W130" s="98" t="str">
        <f t="shared" ref="W130:X130" si="217" xml:space="preserve"> IF( W37 &lt;&gt; 0, W111 / W37, "")</f>
        <v/>
      </c>
      <c r="X130" s="98" t="str">
        <f t="shared" si="217"/>
        <v/>
      </c>
      <c r="Y130" s="98" t="str">
        <f t="shared" ref="Y130:Z130" si="218" xml:space="preserve"> IF( Y37 &lt;&gt; 0, Y111 / Y37, "")</f>
        <v/>
      </c>
      <c r="Z130" s="98" t="str">
        <f t="shared" si="218"/>
        <v/>
      </c>
      <c r="AA130" s="98" t="str">
        <f t="shared" ref="AA130:AB130" si="219" xml:space="preserve"> IF( AA37 &lt;&gt; 0, AA111 / AA37, "")</f>
        <v/>
      </c>
      <c r="AB130" s="98" t="str">
        <f t="shared" si="219"/>
        <v/>
      </c>
    </row>
    <row r="131" spans="2:30" x14ac:dyDescent="0.25">
      <c r="D131" s="2"/>
      <c r="E131" s="2"/>
      <c r="G131" s="13"/>
      <c r="J131" s="89"/>
      <c r="K131" s="89"/>
      <c r="L131" s="89"/>
      <c r="M131" s="89"/>
      <c r="N131" s="89"/>
      <c r="O131" s="89"/>
      <c r="P131" s="89"/>
      <c r="Q131" s="89"/>
      <c r="R131" s="89"/>
      <c r="S131" s="89"/>
      <c r="T131" s="89"/>
      <c r="U131" s="89"/>
      <c r="V131" s="89"/>
      <c r="W131" s="89"/>
      <c r="X131" s="89"/>
      <c r="Y131" s="89"/>
      <c r="Z131" s="89"/>
      <c r="AA131" s="89"/>
      <c r="AB131" s="89"/>
    </row>
    <row r="132" spans="2:30" x14ac:dyDescent="0.25">
      <c r="C132" s="31" t="str">
        <f ca="1">INDEX('Version control'!$H$34:$H$57,MATCH($A$1,'Version control'!$F$34:$F$57,0),1)&amp;"-G: Average bill per kWh"</f>
        <v>Section 118-G: Average bill per kWh</v>
      </c>
      <c r="D132" s="31"/>
      <c r="E132" s="31"/>
      <c r="F132" s="31"/>
      <c r="G132" s="31"/>
      <c r="H132" s="31"/>
      <c r="I132" s="31"/>
      <c r="J132" s="90"/>
      <c r="K132" s="90"/>
      <c r="L132" s="90"/>
      <c r="M132" s="90"/>
      <c r="N132" s="90"/>
      <c r="O132" s="90"/>
      <c r="P132" s="90"/>
      <c r="Q132" s="90"/>
      <c r="R132" s="90"/>
      <c r="S132" s="90"/>
      <c r="T132" s="90"/>
      <c r="U132" s="90"/>
      <c r="V132" s="90"/>
      <c r="W132" s="90"/>
      <c r="X132" s="90"/>
      <c r="Y132" s="90"/>
      <c r="Z132" s="90"/>
      <c r="AA132" s="90"/>
      <c r="AB132" s="90"/>
      <c r="AC132" s="31"/>
      <c r="AD132" s="31"/>
    </row>
    <row r="133" spans="2:30" x14ac:dyDescent="0.25">
      <c r="F133" s="3"/>
      <c r="G133" s="216"/>
      <c r="H133" s="3"/>
      <c r="I133" s="3"/>
      <c r="J133" s="89"/>
      <c r="K133" s="89"/>
      <c r="L133" s="89"/>
      <c r="M133" s="89"/>
      <c r="N133" s="89"/>
      <c r="O133" s="89"/>
      <c r="P133" s="89"/>
      <c r="Q133" s="89"/>
      <c r="R133" s="89"/>
      <c r="S133" s="89"/>
      <c r="T133" s="89"/>
      <c r="U133" s="89"/>
      <c r="V133" s="89"/>
      <c r="W133" s="89"/>
      <c r="X133" s="89"/>
      <c r="Y133" s="89"/>
      <c r="Z133" s="89"/>
      <c r="AA133" s="89"/>
      <c r="AB133" s="89"/>
    </row>
    <row r="134" spans="2:30" x14ac:dyDescent="0.25">
      <c r="E134" t="s">
        <v>840</v>
      </c>
      <c r="G134" s="13" t="s">
        <v>268</v>
      </c>
      <c r="H134" s="271" t="s">
        <v>837</v>
      </c>
      <c r="I134" s="271"/>
      <c r="J134" s="282">
        <f t="shared" ref="J134:AB134" si="220" xml:space="preserve"> IF( SUM(J$16:J$18) &lt;&gt; 0, J$91 / SUM(J$16:J$18) * hundred / thousand, "")</f>
        <v>3.2737164398266216</v>
      </c>
      <c r="K134" s="282">
        <f t="shared" si="220"/>
        <v>1.2903427527239539</v>
      </c>
      <c r="L134" s="282">
        <f t="shared" si="220"/>
        <v>2.6603481944405849</v>
      </c>
      <c r="M134" s="282">
        <f t="shared" si="220"/>
        <v>2.0128674036315943</v>
      </c>
      <c r="N134" s="282">
        <f t="shared" si="220"/>
        <v>2.7316953808685742</v>
      </c>
      <c r="O134" s="282">
        <f t="shared" si="220"/>
        <v>2.4171784513636929</v>
      </c>
      <c r="P134" s="282">
        <f t="shared" si="220"/>
        <v>2.2702504373635684</v>
      </c>
      <c r="Q134" s="282" t="str">
        <f t="shared" si="220"/>
        <v/>
      </c>
      <c r="R134" s="282" t="str">
        <f t="shared" si="220"/>
        <v/>
      </c>
      <c r="S134" s="282" t="str">
        <f t="shared" si="220"/>
        <v/>
      </c>
      <c r="T134" s="282">
        <f t="shared" si="220"/>
        <v>2.8947490759960388</v>
      </c>
      <c r="U134" s="282">
        <f t="shared" si="220"/>
        <v>-0.89037654413268863</v>
      </c>
      <c r="V134" s="282">
        <f t="shared" si="220"/>
        <v>-0.75119085864931601</v>
      </c>
      <c r="W134" s="282">
        <f t="shared" si="220"/>
        <v>-0.87336606048404541</v>
      </c>
      <c r="X134" s="282" t="str">
        <f t="shared" si="220"/>
        <v/>
      </c>
      <c r="Y134" s="282">
        <f t="shared" si="220"/>
        <v>-0.70170001407087867</v>
      </c>
      <c r="Z134" s="282" t="str">
        <f t="shared" si="220"/>
        <v/>
      </c>
      <c r="AA134" s="282">
        <f t="shared" si="220"/>
        <v>-0.52957607193620326</v>
      </c>
      <c r="AB134" s="282" t="str">
        <f t="shared" si="220"/>
        <v/>
      </c>
      <c r="AC134" s="271"/>
      <c r="AD134" s="271"/>
    </row>
    <row r="135" spans="2:30" x14ac:dyDescent="0.25">
      <c r="E135" t="s">
        <v>841</v>
      </c>
      <c r="G135" s="13" t="s">
        <v>268</v>
      </c>
      <c r="H135" s="271" t="s">
        <v>447</v>
      </c>
      <c r="I135" s="271"/>
      <c r="J135" s="289">
        <f t="shared" ref="J135:AB135" si="221" xml:space="preserve"> IF( SUM(J$25:J$27) &lt;&gt; 0, J$101 / SUM(J$25:J$27) * hundred / thousand, "")</f>
        <v>2.0662620859881793</v>
      </c>
      <c r="K135" s="289">
        <f t="shared" si="221"/>
        <v>0.78663627326574315</v>
      </c>
      <c r="L135" s="289">
        <f t="shared" si="221"/>
        <v>1.7475516742106991</v>
      </c>
      <c r="M135" s="289" t="str">
        <f t="shared" si="221"/>
        <v/>
      </c>
      <c r="N135" s="289">
        <f t="shared" si="221"/>
        <v>1.7547759683492776</v>
      </c>
      <c r="O135" s="289" t="str">
        <f t="shared" si="221"/>
        <v/>
      </c>
      <c r="P135" s="289" t="str">
        <f t="shared" si="221"/>
        <v/>
      </c>
      <c r="Q135" s="289" t="str">
        <f t="shared" si="221"/>
        <v/>
      </c>
      <c r="R135" s="289" t="str">
        <f t="shared" si="221"/>
        <v/>
      </c>
      <c r="S135" s="289" t="str">
        <f t="shared" si="221"/>
        <v/>
      </c>
      <c r="T135" s="289">
        <f t="shared" si="221"/>
        <v>1.6212698648441459</v>
      </c>
      <c r="U135" s="289">
        <f t="shared" si="221"/>
        <v>-1.0912863780073545</v>
      </c>
      <c r="V135" s="289" t="str">
        <f t="shared" si="221"/>
        <v/>
      </c>
      <c r="W135" s="289" t="str">
        <f t="shared" si="221"/>
        <v/>
      </c>
      <c r="X135" s="289" t="str">
        <f t="shared" si="221"/>
        <v/>
      </c>
      <c r="Y135" s="289" t="str">
        <f t="shared" si="221"/>
        <v/>
      </c>
      <c r="Z135" s="289" t="str">
        <f t="shared" si="221"/>
        <v/>
      </c>
      <c r="AA135" s="289" t="str">
        <f t="shared" si="221"/>
        <v/>
      </c>
      <c r="AB135" s="289" t="str">
        <f t="shared" si="221"/>
        <v/>
      </c>
      <c r="AC135" s="271"/>
      <c r="AD135" s="271"/>
    </row>
    <row r="136" spans="2:30" x14ac:dyDescent="0.25">
      <c r="E136" t="s">
        <v>842</v>
      </c>
      <c r="G136" s="13" t="s">
        <v>268</v>
      </c>
      <c r="H136" s="271" t="s">
        <v>448</v>
      </c>
      <c r="I136" s="271"/>
      <c r="J136" s="289">
        <f t="shared" ref="J136:AB136" si="222" xml:space="preserve"> IF( SUM(J$34:J$36) &lt;&gt; 0, J$111 / SUM(J$34:J$36) * hundred / thousand, "")</f>
        <v>1.3449718373056525</v>
      </c>
      <c r="K136" s="289">
        <f t="shared" si="222"/>
        <v>0.51189889883372008</v>
      </c>
      <c r="L136" s="289">
        <f t="shared" si="222"/>
        <v>1.0614314497920041</v>
      </c>
      <c r="M136" s="289" t="str">
        <f t="shared" si="222"/>
        <v/>
      </c>
      <c r="N136" s="289">
        <f t="shared" si="222"/>
        <v>1.1607415700703978</v>
      </c>
      <c r="O136" s="289">
        <f t="shared" si="222"/>
        <v>1.9079977391967708</v>
      </c>
      <c r="P136" s="289">
        <f t="shared" si="222"/>
        <v>1.9130707557692024</v>
      </c>
      <c r="Q136" s="289" t="str">
        <f t="shared" si="222"/>
        <v/>
      </c>
      <c r="R136" s="289" t="str">
        <f t="shared" si="222"/>
        <v/>
      </c>
      <c r="S136" s="289" t="str">
        <f t="shared" si="222"/>
        <v/>
      </c>
      <c r="T136" s="289">
        <f t="shared" si="222"/>
        <v>1.0474603789884969</v>
      </c>
      <c r="U136" s="289">
        <f t="shared" si="222"/>
        <v>-1.0927790156140096</v>
      </c>
      <c r="V136" s="289" t="str">
        <f t="shared" si="222"/>
        <v/>
      </c>
      <c r="W136" s="289" t="str">
        <f t="shared" si="222"/>
        <v/>
      </c>
      <c r="X136" s="289" t="str">
        <f t="shared" si="222"/>
        <v/>
      </c>
      <c r="Y136" s="289" t="str">
        <f t="shared" si="222"/>
        <v/>
      </c>
      <c r="Z136" s="289" t="str">
        <f t="shared" si="222"/>
        <v/>
      </c>
      <c r="AA136" s="289" t="str">
        <f t="shared" si="222"/>
        <v/>
      </c>
      <c r="AB136" s="289" t="str">
        <f t="shared" si="222"/>
        <v/>
      </c>
      <c r="AC136" s="271"/>
      <c r="AD136" s="271"/>
    </row>
    <row r="137" spans="2:30" x14ac:dyDescent="0.25">
      <c r="C137" s="88"/>
      <c r="D137" s="2"/>
      <c r="E137" s="2"/>
      <c r="G137" s="13"/>
      <c r="J137" s="89"/>
      <c r="K137" s="89"/>
      <c r="L137" s="89"/>
      <c r="M137" s="89"/>
      <c r="N137" s="89"/>
      <c r="O137" s="89"/>
      <c r="P137" s="89"/>
      <c r="Q137" s="89"/>
      <c r="R137" s="89"/>
      <c r="S137" s="89"/>
      <c r="T137" s="89"/>
      <c r="U137" s="89"/>
      <c r="V137" s="89"/>
      <c r="W137" s="89"/>
      <c r="X137" s="89"/>
      <c r="Y137" s="89"/>
      <c r="Z137" s="89"/>
      <c r="AA137" s="89"/>
      <c r="AB137" s="89"/>
    </row>
    <row r="138" spans="2:30" x14ac:dyDescent="0.25">
      <c r="B138" s="30" t="s">
        <v>843</v>
      </c>
      <c r="C138" s="30"/>
      <c r="D138" s="30"/>
      <c r="E138" s="30"/>
      <c r="F138" s="30"/>
      <c r="G138" s="92"/>
      <c r="H138" s="30"/>
      <c r="I138" s="30"/>
      <c r="J138" s="184"/>
      <c r="K138" s="184"/>
      <c r="L138" s="184"/>
      <c r="M138" s="184"/>
      <c r="N138" s="184"/>
      <c r="O138" s="184"/>
      <c r="P138" s="184"/>
      <c r="Q138" s="184"/>
      <c r="R138" s="184"/>
      <c r="S138" s="184"/>
      <c r="T138" s="184"/>
      <c r="U138" s="184"/>
      <c r="V138" s="184"/>
      <c r="W138" s="184"/>
      <c r="X138" s="184"/>
      <c r="Y138" s="184"/>
      <c r="Z138" s="184"/>
      <c r="AA138" s="184"/>
      <c r="AB138" s="184"/>
      <c r="AC138" s="30"/>
      <c r="AD138" s="30"/>
    </row>
    <row r="139" spans="2:30" x14ac:dyDescent="0.25">
      <c r="F139" s="3"/>
      <c r="G139" s="216"/>
      <c r="H139" s="3"/>
      <c r="I139" s="3"/>
      <c r="J139" s="89"/>
      <c r="K139" s="89"/>
      <c r="L139" s="89"/>
      <c r="M139" s="89"/>
      <c r="N139" s="89"/>
      <c r="O139" s="89"/>
      <c r="P139" s="89"/>
      <c r="Q139" s="89"/>
      <c r="R139" s="89"/>
      <c r="S139" s="89"/>
      <c r="T139" s="89"/>
      <c r="U139" s="89"/>
      <c r="V139" s="89"/>
      <c r="W139" s="89"/>
      <c r="X139" s="89"/>
      <c r="Y139" s="89"/>
      <c r="Z139" s="89"/>
      <c r="AA139" s="89"/>
      <c r="AB139" s="89"/>
    </row>
    <row r="140" spans="2:30" x14ac:dyDescent="0.25">
      <c r="C140" s="31" t="str">
        <f ca="1">INDEX('Version control'!$H$34:$H$57,MATCH($A$1,'Version control'!$F$34:$F$57,0),1)&amp;"-H: Previous year all the way tariff forecast"</f>
        <v>Section 118-H: Previous year all the way tariff forecast</v>
      </c>
      <c r="D140" s="31"/>
      <c r="E140" s="31"/>
      <c r="F140" s="31"/>
      <c r="G140" s="31"/>
      <c r="H140" s="31"/>
      <c r="I140" s="31"/>
      <c r="J140" s="90"/>
      <c r="K140" s="90"/>
      <c r="L140" s="90"/>
      <c r="M140" s="90"/>
      <c r="N140" s="90"/>
      <c r="O140" s="90"/>
      <c r="P140" s="90"/>
      <c r="Q140" s="90"/>
      <c r="R140" s="90"/>
      <c r="S140" s="90"/>
      <c r="T140" s="90"/>
      <c r="U140" s="90"/>
      <c r="V140" s="90"/>
      <c r="W140" s="90"/>
      <c r="X140" s="90"/>
      <c r="Y140" s="90"/>
      <c r="Z140" s="90"/>
      <c r="AA140" s="90"/>
      <c r="AB140" s="90"/>
      <c r="AC140" s="31"/>
      <c r="AD140" s="31"/>
    </row>
    <row r="141" spans="2:30" x14ac:dyDescent="0.25">
      <c r="D141" s="32"/>
      <c r="J141" s="89"/>
      <c r="K141" s="89"/>
      <c r="L141" s="89"/>
      <c r="M141" s="89"/>
      <c r="N141" s="89"/>
      <c r="O141" s="89"/>
      <c r="P141" s="89"/>
      <c r="Q141" s="89"/>
      <c r="R141" s="89"/>
      <c r="S141" s="89"/>
      <c r="T141" s="89"/>
      <c r="U141" s="89"/>
      <c r="V141" s="89"/>
      <c r="W141" s="89"/>
      <c r="X141" s="89"/>
      <c r="Y141" s="89"/>
      <c r="Z141" s="89"/>
      <c r="AA141" s="89"/>
      <c r="AB141" s="89"/>
    </row>
    <row r="142" spans="2:30" x14ac:dyDescent="0.25">
      <c r="E142" s="32" t="s">
        <v>844</v>
      </c>
      <c r="J142" s="89"/>
      <c r="K142" s="89"/>
      <c r="L142" s="89"/>
      <c r="M142" s="89"/>
      <c r="N142" s="89"/>
      <c r="O142" s="89"/>
      <c r="P142" s="89"/>
      <c r="Q142" s="89"/>
      <c r="R142" s="89"/>
      <c r="S142" s="89"/>
      <c r="T142" s="89"/>
      <c r="U142" s="89"/>
      <c r="V142" s="89"/>
      <c r="W142" s="89"/>
      <c r="X142" s="89"/>
      <c r="Y142" s="89"/>
      <c r="Z142" s="89"/>
      <c r="AA142" s="89"/>
      <c r="AB142" s="89"/>
    </row>
    <row r="143" spans="2:30" x14ac:dyDescent="0.25">
      <c r="F143" s="23" t="s">
        <v>155</v>
      </c>
      <c r="G143" s="23" t="s">
        <v>268</v>
      </c>
      <c r="H143" s="269"/>
      <c r="I143" s="269"/>
      <c r="J143" s="285">
        <f>'Inputs by customer type'!J64</f>
        <v>0</v>
      </c>
      <c r="K143" s="285">
        <f>'Inputs by customer type'!K64</f>
        <v>0</v>
      </c>
      <c r="L143" s="285">
        <f>'Inputs by customer type'!L64</f>
        <v>0</v>
      </c>
      <c r="M143" s="285">
        <f>'Inputs by customer type'!M64</f>
        <v>0</v>
      </c>
      <c r="N143" s="285">
        <f>'Inputs by customer type'!N64</f>
        <v>7.4569999999999999</v>
      </c>
      <c r="O143" s="285">
        <f>'Inputs by customer type'!O64</f>
        <v>5.0540000000000003</v>
      </c>
      <c r="P143" s="285">
        <f>'Inputs by customer type'!P64</f>
        <v>3.952</v>
      </c>
      <c r="Q143" s="285">
        <f>'Inputs by customer type'!Q64</f>
        <v>0</v>
      </c>
      <c r="R143" s="285">
        <f>'Inputs by customer type'!R64</f>
        <v>0</v>
      </c>
      <c r="S143" s="285">
        <f>'Inputs by customer type'!S64</f>
        <v>0</v>
      </c>
      <c r="T143" s="285">
        <f>'Inputs by customer type'!T64</f>
        <v>0</v>
      </c>
      <c r="U143" s="285">
        <f>'Inputs by customer type'!U64</f>
        <v>0</v>
      </c>
      <c r="V143" s="285">
        <f>'Inputs by customer type'!V64</f>
        <v>0</v>
      </c>
      <c r="W143" s="285">
        <f>'Inputs by customer type'!W64</f>
        <v>0</v>
      </c>
      <c r="X143" s="285">
        <f>'Inputs by customer type'!X64</f>
        <v>0</v>
      </c>
      <c r="Y143" s="285">
        <f>'Inputs by customer type'!Y64</f>
        <v>0</v>
      </c>
      <c r="Z143" s="285">
        <f>'Inputs by customer type'!Z64</f>
        <v>0</v>
      </c>
      <c r="AA143" s="285">
        <f>'Inputs by customer type'!AA64</f>
        <v>0</v>
      </c>
      <c r="AB143" s="285">
        <f>'Inputs by customer type'!AB64</f>
        <v>0</v>
      </c>
      <c r="AC143" s="271"/>
      <c r="AD143" s="271"/>
    </row>
    <row r="144" spans="2:30" x14ac:dyDescent="0.25">
      <c r="E144" s="28"/>
      <c r="F144" t="s">
        <v>156</v>
      </c>
      <c r="G144" t="s">
        <v>268</v>
      </c>
      <c r="H144" s="271"/>
      <c r="I144" s="271"/>
      <c r="J144" s="286">
        <f>'Inputs by customer type'!J65</f>
        <v>0</v>
      </c>
      <c r="K144" s="286">
        <f>'Inputs by customer type'!K65</f>
        <v>0</v>
      </c>
      <c r="L144" s="286">
        <f>'Inputs by customer type'!L65</f>
        <v>0</v>
      </c>
      <c r="M144" s="286">
        <f>'Inputs by customer type'!M65</f>
        <v>0</v>
      </c>
      <c r="N144" s="286">
        <f>'Inputs by customer type'!N65</f>
        <v>1.9019999999999999</v>
      </c>
      <c r="O144" s="286">
        <f>'Inputs by customer type'!O65</f>
        <v>1.6180000000000001</v>
      </c>
      <c r="P144" s="286">
        <f>'Inputs by customer type'!P65</f>
        <v>1.5029999999999999</v>
      </c>
      <c r="Q144" s="286">
        <f>'Inputs by customer type'!Q65</f>
        <v>0</v>
      </c>
      <c r="R144" s="286">
        <f>'Inputs by customer type'!R65</f>
        <v>0</v>
      </c>
      <c r="S144" s="286">
        <f>'Inputs by customer type'!S65</f>
        <v>0</v>
      </c>
      <c r="T144" s="286">
        <f>'Inputs by customer type'!T65</f>
        <v>0</v>
      </c>
      <c r="U144" s="286">
        <f>'Inputs by customer type'!U65</f>
        <v>0</v>
      </c>
      <c r="V144" s="286">
        <f>'Inputs by customer type'!V65</f>
        <v>0</v>
      </c>
      <c r="W144" s="286">
        <f>'Inputs by customer type'!W65</f>
        <v>0</v>
      </c>
      <c r="X144" s="286">
        <f>'Inputs by customer type'!X65</f>
        <v>0</v>
      </c>
      <c r="Y144" s="286">
        <f>'Inputs by customer type'!Y65</f>
        <v>0</v>
      </c>
      <c r="Z144" s="286">
        <f>'Inputs by customer type'!Z65</f>
        <v>0</v>
      </c>
      <c r="AA144" s="286">
        <f>'Inputs by customer type'!AA65</f>
        <v>0</v>
      </c>
      <c r="AB144" s="286">
        <f>'Inputs by customer type'!AB65</f>
        <v>0</v>
      </c>
      <c r="AC144" s="271"/>
      <c r="AD144" s="271"/>
    </row>
    <row r="145" spans="3:30" x14ac:dyDescent="0.25">
      <c r="E145" s="28"/>
      <c r="F145" t="s">
        <v>157</v>
      </c>
      <c r="G145" t="s">
        <v>268</v>
      </c>
      <c r="H145" s="271"/>
      <c r="I145" s="271"/>
      <c r="J145" s="286">
        <f>'Inputs by customer type'!J66</f>
        <v>0</v>
      </c>
      <c r="K145" s="286">
        <f>'Inputs by customer type'!K66</f>
        <v>0</v>
      </c>
      <c r="L145" s="286">
        <f>'Inputs by customer type'!L66</f>
        <v>0</v>
      </c>
      <c r="M145" s="286">
        <f>'Inputs by customer type'!M66</f>
        <v>0</v>
      </c>
      <c r="N145" s="286">
        <f>'Inputs by customer type'!N66</f>
        <v>1.3009999999999999</v>
      </c>
      <c r="O145" s="286">
        <f>'Inputs by customer type'!O66</f>
        <v>1.2889999999999999</v>
      </c>
      <c r="P145" s="286">
        <f>'Inputs by customer type'!P66</f>
        <v>1.2849999999999999</v>
      </c>
      <c r="Q145" s="286">
        <f>'Inputs by customer type'!Q66</f>
        <v>0</v>
      </c>
      <c r="R145" s="286">
        <f>'Inputs by customer type'!R66</f>
        <v>0</v>
      </c>
      <c r="S145" s="286">
        <f>'Inputs by customer type'!S66</f>
        <v>0</v>
      </c>
      <c r="T145" s="286">
        <f>'Inputs by customer type'!T66</f>
        <v>0</v>
      </c>
      <c r="U145" s="286">
        <f>'Inputs by customer type'!U66</f>
        <v>0</v>
      </c>
      <c r="V145" s="286">
        <f>'Inputs by customer type'!V66</f>
        <v>0</v>
      </c>
      <c r="W145" s="286">
        <f>'Inputs by customer type'!W66</f>
        <v>0</v>
      </c>
      <c r="X145" s="286">
        <f>'Inputs by customer type'!X66</f>
        <v>0</v>
      </c>
      <c r="Y145" s="286">
        <f>'Inputs by customer type'!Y66</f>
        <v>0</v>
      </c>
      <c r="Z145" s="286">
        <f>'Inputs by customer type'!Z66</f>
        <v>0</v>
      </c>
      <c r="AA145" s="286">
        <f>'Inputs by customer type'!AA66</f>
        <v>0</v>
      </c>
      <c r="AB145" s="286">
        <f>'Inputs by customer type'!AB66</f>
        <v>0</v>
      </c>
      <c r="AC145" s="271"/>
      <c r="AD145" s="271"/>
    </row>
    <row r="146" spans="3:30" x14ac:dyDescent="0.25">
      <c r="E146" s="28"/>
      <c r="F146" t="s">
        <v>158</v>
      </c>
      <c r="G146" t="s">
        <v>269</v>
      </c>
      <c r="J146" s="120">
        <f>'Inputs by customer type'!J67</f>
        <v>0</v>
      </c>
      <c r="K146" s="120">
        <f>'Inputs by customer type'!K67</f>
        <v>0</v>
      </c>
      <c r="L146" s="120">
        <f>'Inputs by customer type'!L67</f>
        <v>0</v>
      </c>
      <c r="M146" s="120">
        <f>'Inputs by customer type'!M67</f>
        <v>0</v>
      </c>
      <c r="N146" s="120">
        <f>'Inputs by customer type'!N67</f>
        <v>21.68</v>
      </c>
      <c r="O146" s="120">
        <f>'Inputs by customer type'!O67</f>
        <v>7.65</v>
      </c>
      <c r="P146" s="120">
        <f>'Inputs by customer type'!P67</f>
        <v>115.87</v>
      </c>
      <c r="Q146" s="120">
        <f>'Inputs by customer type'!Q67</f>
        <v>0</v>
      </c>
      <c r="R146" s="120">
        <f>'Inputs by customer type'!R67</f>
        <v>0</v>
      </c>
      <c r="S146" s="120">
        <f>'Inputs by customer type'!S67</f>
        <v>0</v>
      </c>
      <c r="T146" s="120">
        <f>'Inputs by customer type'!T67</f>
        <v>0</v>
      </c>
      <c r="U146" s="120">
        <f>'Inputs by customer type'!U67</f>
        <v>0</v>
      </c>
      <c r="V146" s="120">
        <f>'Inputs by customer type'!V67</f>
        <v>0</v>
      </c>
      <c r="W146" s="120">
        <f>'Inputs by customer type'!W67</f>
        <v>0</v>
      </c>
      <c r="X146" s="120">
        <f>'Inputs by customer type'!X67</f>
        <v>0</v>
      </c>
      <c r="Y146" s="120">
        <f>'Inputs by customer type'!Y67</f>
        <v>0</v>
      </c>
      <c r="Z146" s="120">
        <f>'Inputs by customer type'!Z67</f>
        <v>0</v>
      </c>
      <c r="AA146" s="120">
        <f>'Inputs by customer type'!AA67</f>
        <v>0</v>
      </c>
      <c r="AB146" s="120">
        <f>'Inputs by customer type'!AB67</f>
        <v>0</v>
      </c>
    </row>
    <row r="147" spans="3:30" x14ac:dyDescent="0.25">
      <c r="E147" s="28"/>
      <c r="F147" t="s">
        <v>159</v>
      </c>
      <c r="G147" t="s">
        <v>270</v>
      </c>
      <c r="J147" s="120">
        <f>'Inputs by customer type'!J68</f>
        <v>0</v>
      </c>
      <c r="K147" s="120">
        <f>'Inputs by customer type'!K68</f>
        <v>0</v>
      </c>
      <c r="L147" s="120">
        <f>'Inputs by customer type'!L68</f>
        <v>0</v>
      </c>
      <c r="M147" s="120">
        <f>'Inputs by customer type'!M68</f>
        <v>0</v>
      </c>
      <c r="N147" s="120">
        <f>'Inputs by customer type'!N68</f>
        <v>2.34</v>
      </c>
      <c r="O147" s="120">
        <f>'Inputs by customer type'!O68</f>
        <v>4.28</v>
      </c>
      <c r="P147" s="120">
        <f>'Inputs by customer type'!P68</f>
        <v>4.7</v>
      </c>
      <c r="Q147" s="120">
        <f>'Inputs by customer type'!Q68</f>
        <v>0</v>
      </c>
      <c r="R147" s="120">
        <f>'Inputs by customer type'!R68</f>
        <v>0</v>
      </c>
      <c r="S147" s="120">
        <f>'Inputs by customer type'!S68</f>
        <v>0</v>
      </c>
      <c r="T147" s="120">
        <f>'Inputs by customer type'!T68</f>
        <v>0</v>
      </c>
      <c r="U147" s="120">
        <f>'Inputs by customer type'!U68</f>
        <v>0</v>
      </c>
      <c r="V147" s="120">
        <f>'Inputs by customer type'!V68</f>
        <v>0</v>
      </c>
      <c r="W147" s="120">
        <f>'Inputs by customer type'!W68</f>
        <v>0</v>
      </c>
      <c r="X147" s="120">
        <f>'Inputs by customer type'!X68</f>
        <v>0</v>
      </c>
      <c r="Y147" s="120">
        <f>'Inputs by customer type'!Y68</f>
        <v>0</v>
      </c>
      <c r="Z147" s="120">
        <f>'Inputs by customer type'!Z68</f>
        <v>0</v>
      </c>
      <c r="AA147" s="120">
        <f>'Inputs by customer type'!AA68</f>
        <v>0</v>
      </c>
      <c r="AB147" s="120">
        <f>'Inputs by customer type'!AB68</f>
        <v>0</v>
      </c>
    </row>
    <row r="148" spans="3:30" x14ac:dyDescent="0.25">
      <c r="E148" s="28"/>
      <c r="F148" t="s">
        <v>160</v>
      </c>
      <c r="G148" t="s">
        <v>270</v>
      </c>
      <c r="J148" s="120">
        <f>'Inputs by customer type'!J69</f>
        <v>0</v>
      </c>
      <c r="K148" s="120">
        <f>'Inputs by customer type'!K69</f>
        <v>0</v>
      </c>
      <c r="L148" s="120">
        <f>'Inputs by customer type'!L69</f>
        <v>0</v>
      </c>
      <c r="M148" s="120">
        <f>'Inputs by customer type'!M69</f>
        <v>0</v>
      </c>
      <c r="N148" s="120">
        <f>'Inputs by customer type'!N69</f>
        <v>3.51</v>
      </c>
      <c r="O148" s="120">
        <f>'Inputs by customer type'!O69</f>
        <v>4.9000000000000004</v>
      </c>
      <c r="P148" s="120">
        <f>'Inputs by customer type'!P69</f>
        <v>5.84</v>
      </c>
      <c r="Q148" s="120">
        <f>'Inputs by customer type'!Q69</f>
        <v>0</v>
      </c>
      <c r="R148" s="120">
        <f>'Inputs by customer type'!R69</f>
        <v>0</v>
      </c>
      <c r="S148" s="120">
        <f>'Inputs by customer type'!S69</f>
        <v>0</v>
      </c>
      <c r="T148" s="120">
        <f>'Inputs by customer type'!T69</f>
        <v>0</v>
      </c>
      <c r="U148" s="120">
        <f>'Inputs by customer type'!U69</f>
        <v>0</v>
      </c>
      <c r="V148" s="120">
        <f>'Inputs by customer type'!V69</f>
        <v>0</v>
      </c>
      <c r="W148" s="120">
        <f>'Inputs by customer type'!W69</f>
        <v>0</v>
      </c>
      <c r="X148" s="120">
        <f>'Inputs by customer type'!X69</f>
        <v>0</v>
      </c>
      <c r="Y148" s="120">
        <f>'Inputs by customer type'!Y69</f>
        <v>0</v>
      </c>
      <c r="Z148" s="120">
        <f>'Inputs by customer type'!Z69</f>
        <v>0</v>
      </c>
      <c r="AA148" s="120">
        <f>'Inputs by customer type'!AA69</f>
        <v>0</v>
      </c>
      <c r="AB148" s="120">
        <f>'Inputs by customer type'!AB69</f>
        <v>0</v>
      </c>
    </row>
    <row r="149" spans="3:30" x14ac:dyDescent="0.25">
      <c r="E149" s="28"/>
      <c r="F149" s="37" t="s">
        <v>161</v>
      </c>
      <c r="G149" s="37" t="s">
        <v>271</v>
      </c>
      <c r="H149" s="275"/>
      <c r="I149" s="275"/>
      <c r="J149" s="290">
        <f>'Inputs by customer type'!J70</f>
        <v>0</v>
      </c>
      <c r="K149" s="290">
        <f>'Inputs by customer type'!K70</f>
        <v>0</v>
      </c>
      <c r="L149" s="290">
        <f>'Inputs by customer type'!L70</f>
        <v>0</v>
      </c>
      <c r="M149" s="290">
        <f>'Inputs by customer type'!M70</f>
        <v>0</v>
      </c>
      <c r="N149" s="290">
        <f>'Inputs by customer type'!N70</f>
        <v>0.184</v>
      </c>
      <c r="O149" s="290">
        <f>'Inputs by customer type'!O70</f>
        <v>0.10299999999999999</v>
      </c>
      <c r="P149" s="290">
        <f>'Inputs by customer type'!P70</f>
        <v>6.8000000000000005E-2</v>
      </c>
      <c r="Q149" s="290">
        <f>'Inputs by customer type'!Q70</f>
        <v>0</v>
      </c>
      <c r="R149" s="290">
        <f>'Inputs by customer type'!R70</f>
        <v>0</v>
      </c>
      <c r="S149" s="290">
        <f>'Inputs by customer type'!S70</f>
        <v>0</v>
      </c>
      <c r="T149" s="290">
        <f>'Inputs by customer type'!T70</f>
        <v>0</v>
      </c>
      <c r="U149" s="290">
        <f>'Inputs by customer type'!U70</f>
        <v>0</v>
      </c>
      <c r="V149" s="290">
        <f>'Inputs by customer type'!V70</f>
        <v>0</v>
      </c>
      <c r="W149" s="290">
        <f>'Inputs by customer type'!W70</f>
        <v>0</v>
      </c>
      <c r="X149" s="290">
        <f>'Inputs by customer type'!X70</f>
        <v>0</v>
      </c>
      <c r="Y149" s="290">
        <f>'Inputs by customer type'!Y70</f>
        <v>0</v>
      </c>
      <c r="Z149" s="290">
        <f>'Inputs by customer type'!Z70</f>
        <v>0</v>
      </c>
      <c r="AA149" s="290">
        <f>'Inputs by customer type'!AA70</f>
        <v>0</v>
      </c>
      <c r="AB149" s="290">
        <f>'Inputs by customer type'!AB70</f>
        <v>0</v>
      </c>
      <c r="AC149" s="271"/>
      <c r="AD149" s="271"/>
    </row>
    <row r="150" spans="3:30" x14ac:dyDescent="0.25">
      <c r="D150" s="28"/>
      <c r="E150" s="72"/>
      <c r="F150" s="72"/>
      <c r="G150" s="72"/>
      <c r="J150" s="89"/>
      <c r="K150" s="89"/>
      <c r="L150" s="89"/>
      <c r="M150" s="89"/>
      <c r="N150" s="89"/>
      <c r="O150" s="89"/>
      <c r="P150" s="89"/>
      <c r="Q150" s="89"/>
      <c r="R150" s="89"/>
      <c r="S150" s="89"/>
      <c r="T150" s="89"/>
      <c r="U150" s="89"/>
      <c r="V150" s="89"/>
      <c r="W150" s="89"/>
      <c r="X150" s="89"/>
      <c r="Y150" s="89"/>
      <c r="Z150" s="89"/>
      <c r="AA150" s="89"/>
      <c r="AB150" s="89"/>
    </row>
    <row r="151" spans="3:30" x14ac:dyDescent="0.25">
      <c r="C151" s="31" t="str">
        <f ca="1">INDEX('Version control'!$H$34:$H$57,MATCH($A$1,'Version control'!$F$34:$F$57,0),1)&amp;"-I: Previous year net revenue from all the way tariff forecast"</f>
        <v>Section 118-I: Previous year net revenue from all the way tariff forecast</v>
      </c>
      <c r="D151" s="31"/>
      <c r="E151" s="31"/>
      <c r="F151" s="31"/>
      <c r="G151" s="31"/>
      <c r="H151" s="31"/>
      <c r="I151" s="31"/>
      <c r="J151" s="90"/>
      <c r="K151" s="90"/>
      <c r="L151" s="90"/>
      <c r="M151" s="90"/>
      <c r="N151" s="90"/>
      <c r="O151" s="90"/>
      <c r="P151" s="90"/>
      <c r="Q151" s="90"/>
      <c r="R151" s="90"/>
      <c r="S151" s="90"/>
      <c r="T151" s="90"/>
      <c r="U151" s="90"/>
      <c r="V151" s="90"/>
      <c r="W151" s="90"/>
      <c r="X151" s="90"/>
      <c r="Y151" s="90"/>
      <c r="Z151" s="90"/>
      <c r="AA151" s="90"/>
      <c r="AB151" s="90"/>
      <c r="AC151" s="31"/>
      <c r="AD151" s="31"/>
    </row>
    <row r="152" spans="3:30" x14ac:dyDescent="0.25">
      <c r="D152" s="32"/>
      <c r="J152" s="89"/>
      <c r="K152" s="89"/>
      <c r="L152" s="89"/>
      <c r="M152" s="89"/>
      <c r="N152" s="89"/>
      <c r="O152" s="89"/>
      <c r="P152" s="89"/>
      <c r="Q152" s="89"/>
      <c r="R152" s="89"/>
      <c r="S152" s="89"/>
      <c r="T152" s="89"/>
      <c r="U152" s="89"/>
      <c r="V152" s="89"/>
      <c r="W152" s="89"/>
      <c r="X152" s="89"/>
      <c r="Y152" s="89"/>
      <c r="Z152" s="89"/>
      <c r="AA152" s="89"/>
      <c r="AB152" s="89"/>
    </row>
    <row r="153" spans="3:30" x14ac:dyDescent="0.25">
      <c r="D153" s="29" t="s">
        <v>845</v>
      </c>
      <c r="J153" s="89"/>
      <c r="K153" s="89"/>
      <c r="L153" s="89"/>
      <c r="M153" s="89"/>
      <c r="N153" s="89"/>
      <c r="O153" s="89"/>
      <c r="P153" s="89"/>
      <c r="Q153" s="89"/>
      <c r="R153" s="89"/>
      <c r="S153" s="89"/>
      <c r="T153" s="89"/>
      <c r="U153" s="89"/>
      <c r="V153" s="89"/>
      <c r="W153" s="89"/>
      <c r="X153" s="89"/>
      <c r="Y153" s="89"/>
      <c r="Z153" s="89"/>
      <c r="AA153" s="89"/>
      <c r="AB153" s="89"/>
    </row>
    <row r="154" spans="3:30" x14ac:dyDescent="0.25">
      <c r="D154" s="91" t="s">
        <v>846</v>
      </c>
      <c r="J154" s="89"/>
      <c r="K154" s="89"/>
      <c r="L154" s="89"/>
      <c r="M154" s="89"/>
      <c r="N154" s="89"/>
      <c r="O154" s="89"/>
      <c r="P154" s="89"/>
      <c r="Q154" s="89"/>
      <c r="R154" s="89"/>
      <c r="S154" s="89"/>
      <c r="T154" s="89"/>
      <c r="U154" s="89"/>
      <c r="V154" s="89"/>
      <c r="W154" s="89"/>
      <c r="X154" s="89"/>
      <c r="Y154" s="89"/>
      <c r="Z154" s="89"/>
      <c r="AA154" s="89"/>
      <c r="AB154" s="89"/>
    </row>
    <row r="155" spans="3:30" x14ac:dyDescent="0.25">
      <c r="C155" s="88"/>
      <c r="D155" s="2"/>
      <c r="E155" s="2"/>
      <c r="G155" s="13"/>
      <c r="J155" s="89"/>
      <c r="K155" s="89"/>
      <c r="L155" s="89"/>
      <c r="M155" s="89"/>
      <c r="N155" s="89"/>
      <c r="O155" s="89"/>
      <c r="P155" s="89"/>
      <c r="Q155" s="89"/>
      <c r="R155" s="89"/>
      <c r="S155" s="89"/>
      <c r="T155" s="89"/>
      <c r="U155" s="89"/>
      <c r="V155" s="89"/>
      <c r="W155" s="89"/>
      <c r="X155" s="89"/>
      <c r="Y155" s="89"/>
      <c r="Z155" s="89"/>
      <c r="AA155" s="89"/>
      <c r="AB155" s="89"/>
    </row>
    <row r="156" spans="3:30" x14ac:dyDescent="0.25">
      <c r="E156" s="108" t="s">
        <v>847</v>
      </c>
      <c r="F156" s="108"/>
      <c r="G156" s="108" t="s">
        <v>276</v>
      </c>
      <c r="H156" s="108"/>
      <c r="I156" s="108"/>
      <c r="J156" s="221">
        <f>IF('Inputs by customer type'!J78 = "", "", 'Inputs by customer type'!J78)</f>
        <v>192511698.91664749</v>
      </c>
      <c r="K156" s="221">
        <f>IF('Inputs by customer type'!K78 = "", "", 'Inputs by customer type'!K78)</f>
        <v>4287831.2431029687</v>
      </c>
      <c r="L156" s="221">
        <f>IF('Inputs by customer type'!L78 = "", "", 'Inputs by customer type'!L78)</f>
        <v>60208144.740000002</v>
      </c>
      <c r="M156" s="221">
        <f>IF('Inputs by customer type'!M78 = "", "", 'Inputs by customer type'!M78)</f>
        <v>1599071.4324302014</v>
      </c>
      <c r="N156" s="221">
        <f>IF('Inputs by customer type'!N78 = "", "", 'Inputs by customer type'!N78)</f>
        <v>80185398.101099625</v>
      </c>
      <c r="O156" s="221">
        <f>IF('Inputs by customer type'!O78 = "", "", 'Inputs by customer type'!O78)</f>
        <v>5331503.7113023</v>
      </c>
      <c r="P156" s="221">
        <f>IF('Inputs by customer type'!P78 = "", "", 'Inputs by customer type'!P78)</f>
        <v>82387090.328582451</v>
      </c>
      <c r="Q156" s="221" t="str">
        <f>IF('Inputs by customer type'!Q78 = "", "", 'Inputs by customer type'!Q78)</f>
        <v/>
      </c>
      <c r="R156" s="221" t="str">
        <f>IF('Inputs by customer type'!R78 = "", "", 'Inputs by customer type'!R78)</f>
        <v/>
      </c>
      <c r="S156" s="221" t="str">
        <f>IF('Inputs by customer type'!S78 = "", "", 'Inputs by customer type'!S78)</f>
        <v/>
      </c>
      <c r="T156" s="221">
        <f>IF('Inputs by customer type'!T78 = "", "", 'Inputs by customer type'!T78)</f>
        <v>6853104.8399999999</v>
      </c>
      <c r="U156" s="221">
        <f>IF('Inputs by customer type'!U78 = "", "", 'Inputs by customer type'!U78)</f>
        <v>-10186.358880000002</v>
      </c>
      <c r="V156" s="221">
        <f>IF('Inputs by customer type'!V78 = "", "", 'Inputs by customer type'!V78)</f>
        <v>-272.41083000000003</v>
      </c>
      <c r="W156" s="221">
        <f>IF('Inputs by customer type'!W78 = "", "", 'Inputs by customer type'!W78)</f>
        <v>-475095.38</v>
      </c>
      <c r="X156" s="221" t="str">
        <f>IF('Inputs by customer type'!X78 = "", "", 'Inputs by customer type'!X78)</f>
        <v/>
      </c>
      <c r="Y156" s="221">
        <f>IF('Inputs by customer type'!Y78 = "", "", 'Inputs by customer type'!Y78)</f>
        <v>-10419.36</v>
      </c>
      <c r="Z156" s="221" t="str">
        <f>IF('Inputs by customer type'!Z78 = "", "", 'Inputs by customer type'!Z78)</f>
        <v/>
      </c>
      <c r="AA156" s="221">
        <f>IF('Inputs by customer type'!AA78 = "", "", 'Inputs by customer type'!AA78)</f>
        <v>-3990834.71</v>
      </c>
      <c r="AB156" s="221" t="str">
        <f>IF('Inputs by customer type'!AB78 = "", "", 'Inputs by customer type'!AB78)</f>
        <v/>
      </c>
    </row>
    <row r="157" spans="3:30" x14ac:dyDescent="0.25">
      <c r="D157" s="28"/>
      <c r="E157" s="72"/>
      <c r="F157" s="72"/>
      <c r="G157" s="72"/>
      <c r="J157" s="89"/>
      <c r="K157" s="89"/>
      <c r="L157" s="89"/>
      <c r="M157" s="89"/>
      <c r="N157" s="89"/>
      <c r="O157" s="89"/>
      <c r="P157" s="89"/>
      <c r="Q157" s="89"/>
      <c r="R157" s="89"/>
      <c r="S157" s="89"/>
      <c r="T157" s="89"/>
      <c r="U157" s="89"/>
      <c r="V157" s="89"/>
      <c r="W157" s="89"/>
      <c r="X157" s="89"/>
      <c r="Y157" s="89"/>
      <c r="Z157" s="89"/>
      <c r="AA157" s="89"/>
      <c r="AB157" s="89"/>
    </row>
    <row r="158" spans="3:30" x14ac:dyDescent="0.25">
      <c r="E158" t="s">
        <v>848</v>
      </c>
      <c r="G158" t="s">
        <v>276</v>
      </c>
      <c r="J158" s="98">
        <f t="shared" ref="J158:K158" si="223">IF(J156 = "", (J146*J19 + J147*J20 + J148*J21) / hundred * days_in_year + (J143*J16 + J144*J17 + J145*J18 + J149*J22) * ten, J156)</f>
        <v>192511698.91664749</v>
      </c>
      <c r="K158" s="98">
        <f t="shared" si="223"/>
        <v>4287831.2431029687</v>
      </c>
      <c r="L158" s="98">
        <f t="shared" ref="L158:M158" si="224">IF(L156 = "", (L146*L19 + L147*L20 + L148*L21) / hundred * days_in_year + (L143*L16 + L144*L17 + L145*L18 + L149*L22) * ten, L156)</f>
        <v>60208144.740000002</v>
      </c>
      <c r="M158" s="98">
        <f t="shared" si="224"/>
        <v>1599071.4324302014</v>
      </c>
      <c r="N158" s="98">
        <f t="shared" ref="N158:P158" si="225">IF(N156 = "", (N146*N19 + N147*N20 + N148*N21) / hundred * days_in_year + (N143*N16 + N144*N17 + N145*N18 + N149*N22) * ten, N156)</f>
        <v>80185398.101099625</v>
      </c>
      <c r="O158" s="98">
        <f t="shared" si="225"/>
        <v>5331503.7113023</v>
      </c>
      <c r="P158" s="98">
        <f t="shared" si="225"/>
        <v>82387090.328582451</v>
      </c>
      <c r="Q158" s="98">
        <f t="shared" ref="Q158:S158" si="226">IF(Q156 = "", (Q146*Q19 + Q147*Q20 + Q148*Q21) / hundred * days_in_year + (Q143*Q16 + Q144*Q17 + Q145*Q18 + Q149*Q22) * ten, Q156)</f>
        <v>0</v>
      </c>
      <c r="R158" s="98">
        <f t="shared" si="226"/>
        <v>0</v>
      </c>
      <c r="S158" s="98">
        <f t="shared" si="226"/>
        <v>0</v>
      </c>
      <c r="T158" s="98">
        <f t="shared" ref="T158:V158" si="227">IF(T156 = "", (T146*T19 + T147*T20 + T148*T21) / hundred * days_in_year + (T143*T16 + T144*T17 + T145*T18 + T149*T22) * ten, T156)</f>
        <v>6853104.8399999999</v>
      </c>
      <c r="U158" s="98">
        <f t="shared" si="227"/>
        <v>-10186.358880000002</v>
      </c>
      <c r="V158" s="98">
        <f t="shared" si="227"/>
        <v>-272.41083000000003</v>
      </c>
      <c r="W158" s="98">
        <f t="shared" ref="W158:X158" si="228">IF(W156 = "", (W146*W19 + W147*W20 + W148*W21) / hundred * days_in_year + (W143*W16 + W144*W17 + W145*W18 + W149*W22) * ten, W156)</f>
        <v>-475095.38</v>
      </c>
      <c r="X158" s="98">
        <f t="shared" si="228"/>
        <v>0</v>
      </c>
      <c r="Y158" s="98">
        <f t="shared" ref="Y158:Z158" si="229">IF(Y156 = "", (Y146*Y19 + Y147*Y20 + Y148*Y21) / hundred * days_in_year + (Y143*Y16 + Y144*Y17 + Y145*Y18 + Y149*Y22) * ten, Y156)</f>
        <v>-10419.36</v>
      </c>
      <c r="Z158" s="98">
        <f t="shared" si="229"/>
        <v>0</v>
      </c>
      <c r="AA158" s="98">
        <f t="shared" ref="AA158:AB158" si="230">IF(AA156 = "", (AA146*AA19 + AA147*AA20 + AA148*AA21) / hundred * days_in_year + (AA143*AA16 + AA144*AA17 + AA145*AA18 + AA149*AA22) * ten, AA156)</f>
        <v>-3990834.71</v>
      </c>
      <c r="AB158" s="98">
        <f t="shared" si="230"/>
        <v>0</v>
      </c>
    </row>
    <row r="159" spans="3:30" x14ac:dyDescent="0.25">
      <c r="F159" s="3"/>
      <c r="G159" s="216"/>
      <c r="H159" s="3"/>
      <c r="I159" s="3"/>
    </row>
    <row r="160" spans="3:30" x14ac:dyDescent="0.25">
      <c r="E160" t="s">
        <v>849</v>
      </c>
      <c r="G160" s="13" t="s">
        <v>166</v>
      </c>
      <c r="J160" s="111">
        <f t="shared" ref="J160:K160" si="231">IF( J158 &lt;&gt; 0, (J91 - J158) / J158, 0)</f>
        <v>-3.1103510245565662E-2</v>
      </c>
      <c r="K160" s="111">
        <f t="shared" si="231"/>
        <v>-0.18586308983886962</v>
      </c>
      <c r="L160" s="111">
        <f t="shared" ref="L160:M160" si="232">IF( L158 &lt;&gt; 0, (L91 - L158) / L158, 0)</f>
        <v>-3.345845768789734E-2</v>
      </c>
      <c r="M160" s="111">
        <f t="shared" si="232"/>
        <v>3.2858398231561552E-2</v>
      </c>
      <c r="N160" s="111">
        <f t="shared" ref="N160:P160" si="233">IF( N158 &lt;&gt; 0, (N91 - N158) / N158, 0)</f>
        <v>-6.2107548945211533E-2</v>
      </c>
      <c r="O160" s="111">
        <f t="shared" si="233"/>
        <v>1.3988603044608125E-2</v>
      </c>
      <c r="P160" s="111">
        <f t="shared" si="233"/>
        <v>-5.7066388736711729E-2</v>
      </c>
      <c r="Q160" s="111">
        <f t="shared" ref="Q160:S160" si="234">IF( Q158 &lt;&gt; 0, (Q91 - Q158) / Q158, 0)</f>
        <v>0</v>
      </c>
      <c r="R160" s="111">
        <f t="shared" si="234"/>
        <v>0</v>
      </c>
      <c r="S160" s="111">
        <f t="shared" si="234"/>
        <v>0</v>
      </c>
      <c r="T160" s="111">
        <f t="shared" ref="T160:V160" si="235">IF( T158 &lt;&gt; 0, (T91 - T158) / T158, 0)</f>
        <v>7.8993626467106254E-2</v>
      </c>
      <c r="U160" s="111">
        <f t="shared" si="235"/>
        <v>0.27876752815203787</v>
      </c>
      <c r="V160" s="111">
        <f t="shared" si="235"/>
        <v>-0.15226904243868464</v>
      </c>
      <c r="W160" s="111">
        <f t="shared" ref="W160:X160" si="236">IF( W158 &lt;&gt; 0, (W91 - W158) / W158, 0)</f>
        <v>0.18824003258669048</v>
      </c>
      <c r="X160" s="111">
        <f t="shared" si="236"/>
        <v>0</v>
      </c>
      <c r="Y160" s="111">
        <f t="shared" ref="Y160:Z160" si="237">IF( Y158 &lt;&gt; 0, (Y91 - Y158) / Y158, 0)</f>
        <v>4.3348566033980969E-2</v>
      </c>
      <c r="Z160" s="111">
        <f t="shared" si="237"/>
        <v>0</v>
      </c>
      <c r="AA160" s="111">
        <f t="shared" ref="AA160:AB160" si="238">IF( AA158 &lt;&gt; 0, (AA91 - AA158) / AA158, 0)</f>
        <v>0.41833992626225702</v>
      </c>
      <c r="AB160" s="111">
        <f t="shared" si="238"/>
        <v>0</v>
      </c>
    </row>
    <row r="161" spans="2:30" x14ac:dyDescent="0.25">
      <c r="C161" s="88"/>
      <c r="D161" s="2"/>
      <c r="E161" s="2"/>
      <c r="G161" s="13"/>
    </row>
    <row r="162" spans="2:30" x14ac:dyDescent="0.25">
      <c r="E162" t="s">
        <v>850</v>
      </c>
      <c r="G162" s="13" t="s">
        <v>268</v>
      </c>
      <c r="H162" s="271"/>
      <c r="I162" s="271"/>
      <c r="J162" s="282">
        <f t="shared" ref="J162:K162" si="239" xml:space="preserve"> (J91 - J158) / IF( SUM(J16:J18) = 0, 1, SUM(J16:J18)) / ten</f>
        <v>-0.10509282870147592</v>
      </c>
      <c r="K162" s="282">
        <f t="shared" si="239"/>
        <v>-0.29457832949129042</v>
      </c>
      <c r="L162" s="282">
        <f t="shared" ref="L162:M162" si="240" xml:space="preserve"> (L91 - L158) / IF( SUM(L16:L18) = 0, 1, SUM(L16:L18)) / ten</f>
        <v>-9.2092417761824558E-2</v>
      </c>
      <c r="M162" s="282">
        <f t="shared" si="240"/>
        <v>6.4035494942093804E-2</v>
      </c>
      <c r="N162" s="282">
        <f t="shared" ref="N162:P162" si="241" xml:space="preserve"> (N91 - N158) / IF( SUM(N16:N18) = 0, 1, SUM(N16:N18)) / ten</f>
        <v>-0.18089377345973795</v>
      </c>
      <c r="O162" s="282">
        <f t="shared" si="241"/>
        <v>3.3346479183868884E-2</v>
      </c>
      <c r="P162" s="282">
        <f t="shared" si="241"/>
        <v>-0.13739566862476021</v>
      </c>
      <c r="Q162" s="282">
        <f t="shared" ref="Q162:S162" si="242" xml:space="preserve"> (Q91 - Q158) / IF( SUM(Q16:Q18) = 0, 1, SUM(Q16:Q18)) / ten</f>
        <v>0</v>
      </c>
      <c r="R162" s="282">
        <f t="shared" si="242"/>
        <v>0</v>
      </c>
      <c r="S162" s="282">
        <f t="shared" si="242"/>
        <v>0</v>
      </c>
      <c r="T162" s="282">
        <f t="shared" ref="T162:V162" si="243" xml:space="preserve"> (T91 - T158) / IF( SUM(T16:T18) = 0, 1, SUM(T16:T18)) / ten</f>
        <v>0.21192592951076444</v>
      </c>
      <c r="U162" s="282">
        <f t="shared" si="243"/>
        <v>-0.19409944565226167</v>
      </c>
      <c r="V162" s="282">
        <f t="shared" si="243"/>
        <v>0.13492855453134903</v>
      </c>
      <c r="W162" s="282">
        <f t="shared" ref="W162:X162" si="244" xml:space="preserve"> (W91 - W158) / IF( SUM(W16:W18) = 0, 1, SUM(W16:W18)) / ten</f>
        <v>-0.13835795056301628</v>
      </c>
      <c r="X162" s="282">
        <f t="shared" si="244"/>
        <v>0</v>
      </c>
      <c r="Y162" s="282">
        <f t="shared" ref="Y162:Z162" si="245" xml:space="preserve"> (Y91 - Y158) / IF( SUM(Y16:Y18) = 0, 1, SUM(Y16:Y18)) / ten</f>
        <v>-2.9153909236317655E-2</v>
      </c>
      <c r="Z162" s="282">
        <f t="shared" si="245"/>
        <v>0</v>
      </c>
      <c r="AA162" s="282">
        <f t="shared" ref="AA162:AB162" si="246" xml:space="preserve"> (AA91 - AA158) / IF( SUM(AA16:AA18) = 0, 1, SUM(AA16:AA18)) / ten</f>
        <v>-0.15619867337999677</v>
      </c>
      <c r="AB162" s="282">
        <f t="shared" si="246"/>
        <v>0</v>
      </c>
      <c r="AC162" s="271"/>
      <c r="AD162" s="271"/>
    </row>
    <row r="163" spans="2:30" x14ac:dyDescent="0.25">
      <c r="C163" s="88"/>
      <c r="D163" s="2"/>
      <c r="E163" s="2"/>
      <c r="G163" s="13"/>
    </row>
    <row r="164" spans="2:30" x14ac:dyDescent="0.25">
      <c r="B164" s="30" t="s">
        <v>851</v>
      </c>
      <c r="C164" s="30"/>
      <c r="D164" s="30"/>
      <c r="E164" s="30"/>
      <c r="F164" s="30"/>
      <c r="G164" s="92"/>
      <c r="H164" s="30"/>
      <c r="I164" s="30"/>
      <c r="J164" s="30"/>
      <c r="K164" s="30"/>
      <c r="L164" s="30"/>
      <c r="M164" s="30"/>
      <c r="N164" s="30"/>
      <c r="O164" s="30"/>
      <c r="P164" s="30"/>
      <c r="Q164" s="30"/>
      <c r="R164" s="30"/>
      <c r="S164" s="30"/>
      <c r="T164" s="30"/>
      <c r="U164" s="30"/>
      <c r="V164" s="30"/>
      <c r="W164" s="30"/>
      <c r="X164" s="30"/>
      <c r="Y164" s="30"/>
      <c r="Z164" s="30"/>
      <c r="AA164" s="30"/>
      <c r="AB164" s="30"/>
      <c r="AC164" s="30"/>
      <c r="AD164" s="30"/>
    </row>
    <row r="165" spans="2:30" x14ac:dyDescent="0.25">
      <c r="F165" s="3"/>
      <c r="G165" s="216"/>
      <c r="H165" s="3"/>
      <c r="I165" s="3"/>
    </row>
    <row r="166" spans="2:30" x14ac:dyDescent="0.25">
      <c r="C166" s="31" t="str">
        <f ca="1">INDEX('Version control'!$H$34:$H$57,MATCH($A$1,'Version control'!$F$34:$F$57,0),1)&amp;"-J: LDNO typical bills using all-the-way volumes"</f>
        <v>Section 118-J: LDNO typical bills using all-the-way volumes</v>
      </c>
      <c r="D166" s="31"/>
      <c r="E166" s="31"/>
      <c r="F166" s="31"/>
      <c r="G166" s="31"/>
      <c r="H166" s="31"/>
      <c r="I166" s="31"/>
      <c r="J166" s="31"/>
      <c r="K166" s="31"/>
      <c r="L166" s="31"/>
      <c r="M166" s="31"/>
      <c r="N166" s="31"/>
      <c r="O166" s="31"/>
      <c r="P166" s="31"/>
      <c r="Q166" s="31"/>
      <c r="R166" s="31"/>
      <c r="S166" s="31"/>
      <c r="T166" s="31"/>
      <c r="U166" s="31"/>
      <c r="V166" s="31"/>
      <c r="W166" s="31"/>
      <c r="X166" s="31"/>
      <c r="Y166" s="31"/>
      <c r="Z166" s="31"/>
      <c r="AA166" s="31"/>
      <c r="AB166" s="31"/>
      <c r="AC166" s="31"/>
      <c r="AD166" s="31"/>
    </row>
    <row r="167" spans="2:30" x14ac:dyDescent="0.25">
      <c r="C167" s="88"/>
      <c r="D167" s="2"/>
      <c r="E167" s="2"/>
      <c r="G167" s="13"/>
    </row>
    <row r="168" spans="2:30" x14ac:dyDescent="0.25">
      <c r="E168" s="32" t="s">
        <v>852</v>
      </c>
      <c r="G168" s="13"/>
      <c r="H168" s="128"/>
      <c r="J168" s="63"/>
      <c r="K168" s="63"/>
      <c r="L168" s="63"/>
      <c r="M168" s="63"/>
      <c r="N168" s="63"/>
      <c r="O168" s="63"/>
      <c r="P168" s="63"/>
      <c r="Q168" s="63"/>
      <c r="R168" s="63"/>
      <c r="S168" s="63"/>
      <c r="T168" s="63"/>
      <c r="U168" s="63"/>
      <c r="V168" s="63"/>
      <c r="W168" s="63"/>
      <c r="X168" s="63"/>
      <c r="Y168" s="63"/>
      <c r="Z168" s="63"/>
      <c r="AA168" s="63"/>
      <c r="AB168" s="63"/>
    </row>
    <row r="169" spans="2:30" x14ac:dyDescent="0.25">
      <c r="E169" s="29" t="s">
        <v>853</v>
      </c>
    </row>
    <row r="170" spans="2:30" x14ac:dyDescent="0.25">
      <c r="E170" s="28"/>
      <c r="F170" s="23" t="s">
        <v>155</v>
      </c>
      <c r="G170" s="85" t="s">
        <v>854</v>
      </c>
      <c r="H170" s="222"/>
      <c r="I170" s="23"/>
      <c r="J170" s="126">
        <f t="shared" ref="J170:K170" si="247" xml:space="preserve"> IF( J$19 &lt;&gt; 0, J$16 * thousand * J54 / hundred / J$19, "")</f>
        <v>24.322950076522698</v>
      </c>
      <c r="K170" s="126">
        <f t="shared" si="247"/>
        <v>0.81998471056456534</v>
      </c>
      <c r="L170" s="126">
        <f t="shared" ref="L170:M170" si="248" xml:space="preserve"> IF( L$19 &lt;&gt; 0, L$16 * thousand * L54 / hundred / L$19, "")</f>
        <v>106.24416294663493</v>
      </c>
      <c r="M170" s="126">
        <f t="shared" si="248"/>
        <v>39.664605907635476</v>
      </c>
      <c r="N170" s="126">
        <f t="shared" ref="N170:P170" si="249" xml:space="preserve"> IF( N$19 &lt;&gt; 0, N$16 * thousand * N54 / hundred / N$19, "")</f>
        <v>1310.6200722976575</v>
      </c>
      <c r="O170" s="126">
        <f t="shared" si="249"/>
        <v>0</v>
      </c>
      <c r="P170" s="126">
        <f t="shared" si="249"/>
        <v>0</v>
      </c>
      <c r="Q170" s="126" t="str">
        <f t="shared" ref="Q170:S170" si="250" xml:space="preserve"> IF( Q$19 &lt;&gt; 0, Q$16 * thousand * Q54 / hundred / Q$19, "")</f>
        <v/>
      </c>
      <c r="R170" s="126" t="str">
        <f t="shared" si="250"/>
        <v/>
      </c>
      <c r="S170" s="126" t="str">
        <f t="shared" si="250"/>
        <v/>
      </c>
      <c r="T170" s="126">
        <f t="shared" ref="T170:V170" si="251" xml:space="preserve"> IF( T$19 &lt;&gt; 0, T$16 * thousand * T54 / hundred / T$19, "")</f>
        <v>393.85685711521626</v>
      </c>
      <c r="U170" s="126">
        <f t="shared" si="251"/>
        <v>-53.693473233705063</v>
      </c>
      <c r="V170" s="126">
        <f t="shared" si="251"/>
        <v>0</v>
      </c>
      <c r="W170" s="126">
        <f t="shared" ref="W170:X170" si="252" xml:space="preserve"> IF( W$19 &lt;&gt; 0, W$16 * thousand * W54 / hundred / W$19, "")</f>
        <v>-836.69973866337341</v>
      </c>
      <c r="X170" s="126" t="str">
        <f t="shared" si="252"/>
        <v/>
      </c>
      <c r="Y170" s="126">
        <f t="shared" ref="Y170:Z170" si="253" xml:space="preserve"> IF( Y$19 &lt;&gt; 0, Y$16 * thousand * Y54 / hundred / Y$19, "")</f>
        <v>0</v>
      </c>
      <c r="Z170" s="126" t="str">
        <f t="shared" si="253"/>
        <v/>
      </c>
      <c r="AA170" s="126">
        <f t="shared" ref="AA170:AB170" si="254" xml:space="preserve"> IF( AA$19 &lt;&gt; 0, AA$16 * thousand * AA54 / hundred / AA$19, "")</f>
        <v>0</v>
      </c>
      <c r="AB170" s="126" t="str">
        <f t="shared" si="254"/>
        <v/>
      </c>
    </row>
    <row r="171" spans="2:30" x14ac:dyDescent="0.25">
      <c r="E171" s="28"/>
      <c r="F171" t="s">
        <v>156</v>
      </c>
      <c r="G171" s="13" t="s">
        <v>854</v>
      </c>
      <c r="H171" s="102"/>
      <c r="J171" s="98">
        <f t="shared" ref="J171:K171" si="255" xml:space="preserve"> IF( J$19 &lt;&gt; 0, J$17 * thousand * J55 / hundred / J$19, "")</f>
        <v>17.273808542054578</v>
      </c>
      <c r="K171" s="98">
        <f t="shared" si="255"/>
        <v>2.9676511362059874</v>
      </c>
      <c r="L171" s="98">
        <f t="shared" ref="L171:M171" si="256" xml:space="preserve"> IF( L$19 &lt;&gt; 0, L$17 * thousand * L55 / hundred / L$19, "")</f>
        <v>107.71338351942363</v>
      </c>
      <c r="M171" s="98">
        <f t="shared" si="256"/>
        <v>45.051614162303473</v>
      </c>
      <c r="N171" s="98">
        <f t="shared" ref="N171:P171" si="257" xml:space="preserve"> IF( N$19 &lt;&gt; 0, N$17 * thousand * N55 / hundred / N$19, "")</f>
        <v>1392.7533677128249</v>
      </c>
      <c r="O171" s="98">
        <f t="shared" si="257"/>
        <v>0</v>
      </c>
      <c r="P171" s="98">
        <f t="shared" si="257"/>
        <v>0</v>
      </c>
      <c r="Q171" s="98" t="str">
        <f t="shared" ref="Q171:S171" si="258" xml:space="preserve"> IF( Q$19 &lt;&gt; 0, Q$17 * thousand * Q55 / hundred / Q$19, "")</f>
        <v/>
      </c>
      <c r="R171" s="98" t="str">
        <f t="shared" si="258"/>
        <v/>
      </c>
      <c r="S171" s="98" t="str">
        <f t="shared" si="258"/>
        <v/>
      </c>
      <c r="T171" s="98">
        <f t="shared" ref="T171:V171" si="259" xml:space="preserve"> IF( T$19 &lt;&gt; 0, T$17 * thousand * T55 / hundred / T$19, "")</f>
        <v>154.03511739255208</v>
      </c>
      <c r="U171" s="98">
        <f t="shared" si="259"/>
        <v>-23.637530259930589</v>
      </c>
      <c r="V171" s="98">
        <f t="shared" si="259"/>
        <v>0</v>
      </c>
      <c r="W171" s="98">
        <f t="shared" ref="W171:X171" si="260" xml:space="preserve"> IF( W$19 &lt;&gt; 0, W$17 * thousand * W55 / hundred / W$19, "")</f>
        <v>-367.9780274361533</v>
      </c>
      <c r="X171" s="98" t="str">
        <f t="shared" si="260"/>
        <v/>
      </c>
      <c r="Y171" s="98">
        <f t="shared" ref="Y171:Z171" si="261" xml:space="preserve"> IF( Y$19 &lt;&gt; 0, Y$17 * thousand * Y55 / hundred / Y$19, "")</f>
        <v>0</v>
      </c>
      <c r="Z171" s="98" t="str">
        <f t="shared" si="261"/>
        <v/>
      </c>
      <c r="AA171" s="98">
        <f t="shared" ref="AA171:AB171" si="262" xml:space="preserve"> IF( AA$19 &lt;&gt; 0, AA$17 * thousand * AA55 / hundred / AA$19, "")</f>
        <v>0</v>
      </c>
      <c r="AB171" s="98" t="str">
        <f t="shared" si="262"/>
        <v/>
      </c>
    </row>
    <row r="172" spans="2:30" x14ac:dyDescent="0.25">
      <c r="E172" s="28"/>
      <c r="F172" t="s">
        <v>157</v>
      </c>
      <c r="G172" s="13" t="s">
        <v>854</v>
      </c>
      <c r="H172" s="102"/>
      <c r="J172" s="98">
        <f t="shared" ref="J172:K172" si="263" xml:space="preserve"> IF( J$19 &lt;&gt; 0, J$18 * thousand * J56 / hundred / J$19, "")</f>
        <v>9.1693910733096082</v>
      </c>
      <c r="K172" s="98">
        <f t="shared" si="263"/>
        <v>17.473044914781166</v>
      </c>
      <c r="L172" s="98">
        <f t="shared" ref="L172:M172" si="264" xml:space="preserve"> IF( L$19 &lt;&gt; 0, L$18 * thousand * L56 / hundred / L$19, "")</f>
        <v>56.184832194277099</v>
      </c>
      <c r="M172" s="98">
        <f t="shared" si="264"/>
        <v>50.505614829183571</v>
      </c>
      <c r="N172" s="98">
        <f t="shared" ref="N172:P172" si="265" xml:space="preserve"> IF( N$19 &lt;&gt; 0, N$18 * thousand * N56 / hundred / N$19, "")</f>
        <v>780.5313760257186</v>
      </c>
      <c r="O172" s="98">
        <f t="shared" si="265"/>
        <v>0</v>
      </c>
      <c r="P172" s="98">
        <f t="shared" si="265"/>
        <v>0</v>
      </c>
      <c r="Q172" s="98" t="str">
        <f t="shared" ref="Q172:S172" si="266" xml:space="preserve"> IF( Q$19 &lt;&gt; 0, Q$18 * thousand * Q56 / hundred / Q$19, "")</f>
        <v/>
      </c>
      <c r="R172" s="98" t="str">
        <f t="shared" si="266"/>
        <v/>
      </c>
      <c r="S172" s="98" t="str">
        <f t="shared" si="266"/>
        <v/>
      </c>
      <c r="T172" s="98">
        <f t="shared" ref="T172:V172" si="267" xml:space="preserve"> IF( T$19 &lt;&gt; 0, T$18 * thousand * T56 / hundred / T$19, "")</f>
        <v>377.87235562590706</v>
      </c>
      <c r="U172" s="98">
        <f t="shared" si="267"/>
        <v>-0.66890648149705323</v>
      </c>
      <c r="V172" s="98">
        <f t="shared" si="267"/>
        <v>0</v>
      </c>
      <c r="W172" s="98">
        <f t="shared" ref="W172:X172" si="268" xml:space="preserve"> IF( W$19 &lt;&gt; 0, W$18 * thousand * W56 / hundred / W$19, "")</f>
        <v>-10.502127572053908</v>
      </c>
      <c r="X172" s="98" t="str">
        <f t="shared" si="268"/>
        <v/>
      </c>
      <c r="Y172" s="98">
        <f t="shared" ref="Y172:Z172" si="269" xml:space="preserve"> IF( Y$19 &lt;&gt; 0, Y$18 * thousand * Y56 / hundred / Y$19, "")</f>
        <v>0</v>
      </c>
      <c r="Z172" s="98" t="str">
        <f t="shared" si="269"/>
        <v/>
      </c>
      <c r="AA172" s="98">
        <f t="shared" ref="AA172:AB172" si="270" xml:space="preserve"> IF( AA$19 &lt;&gt; 0, AA$18 * thousand * AA56 / hundred / AA$19, "")</f>
        <v>0</v>
      </c>
      <c r="AB172" s="98" t="str">
        <f t="shared" si="270"/>
        <v/>
      </c>
    </row>
    <row r="173" spans="2:30" x14ac:dyDescent="0.25">
      <c r="E173" s="28"/>
      <c r="F173" s="23" t="s">
        <v>158</v>
      </c>
      <c r="G173" s="85" t="s">
        <v>854</v>
      </c>
      <c r="H173" s="222"/>
      <c r="I173" s="23"/>
      <c r="J173" s="126">
        <f t="shared" ref="J173:K173" si="271" xml:space="preserve"> IF( J$19 &lt;&gt; 0, J$19 * J57 * days_in_year / hundred / J$19, "")</f>
        <v>10.877000000000001</v>
      </c>
      <c r="K173" s="126">
        <f t="shared" si="271"/>
        <v>0</v>
      </c>
      <c r="L173" s="126">
        <f t="shared" ref="L173:M173" si="272" xml:space="preserve"> IF( L$19 &lt;&gt; 0, L$19 * L57 * days_in_year / hundred / L$19, "")</f>
        <v>13.6875</v>
      </c>
      <c r="M173" s="126">
        <f t="shared" si="272"/>
        <v>0</v>
      </c>
      <c r="N173" s="126">
        <f t="shared" ref="N173:P173" si="273" xml:space="preserve"> IF( N$19 &lt;&gt; 0, N$19 * N57 * days_in_year / hundred / N$19, "")</f>
        <v>52.341000000000001</v>
      </c>
      <c r="O173" s="126">
        <f t="shared" si="273"/>
        <v>0</v>
      </c>
      <c r="P173" s="126">
        <f t="shared" si="273"/>
        <v>0</v>
      </c>
      <c r="Q173" s="126" t="str">
        <f t="shared" ref="Q173:S173" si="274" xml:space="preserve"> IF( Q$19 &lt;&gt; 0, Q$19 * Q57 * days_in_year / hundred / Q$19, "")</f>
        <v/>
      </c>
      <c r="R173" s="126" t="str">
        <f t="shared" si="274"/>
        <v/>
      </c>
      <c r="S173" s="126" t="str">
        <f t="shared" si="274"/>
        <v/>
      </c>
      <c r="T173" s="126">
        <f t="shared" ref="T173:V173" si="275" xml:space="preserve"> IF( T$19 &lt;&gt; 0, T$19 * T57 * days_in_year / hundred / T$19, "")</f>
        <v>0</v>
      </c>
      <c r="U173" s="126">
        <f t="shared" si="275"/>
        <v>0</v>
      </c>
      <c r="V173" s="126">
        <f t="shared" si="275"/>
        <v>0</v>
      </c>
      <c r="W173" s="126">
        <f t="shared" ref="W173:X173" si="276" xml:space="preserve"> IF( W$19 &lt;&gt; 0, W$19 * W57 * days_in_year / hundred / W$19, "")</f>
        <v>0</v>
      </c>
      <c r="X173" s="126" t="str">
        <f t="shared" si="276"/>
        <v/>
      </c>
      <c r="Y173" s="126">
        <f t="shared" ref="Y173:Z173" si="277" xml:space="preserve"> IF( Y$19 &lt;&gt; 0, Y$19 * Y57 * days_in_year / hundred / Y$19, "")</f>
        <v>0</v>
      </c>
      <c r="Z173" s="126" t="str">
        <f t="shared" si="277"/>
        <v/>
      </c>
      <c r="AA173" s="126">
        <f t="shared" ref="AA173:AB173" si="278" xml:space="preserve"> IF( AA$19 &lt;&gt; 0, AA$19 * AA57 * days_in_year / hundred / AA$19, "")</f>
        <v>0</v>
      </c>
      <c r="AB173" s="126" t="str">
        <f t="shared" si="278"/>
        <v/>
      </c>
    </row>
    <row r="174" spans="2:30" x14ac:dyDescent="0.25">
      <c r="E174" s="28"/>
      <c r="F174" t="s">
        <v>159</v>
      </c>
      <c r="G174" s="13" t="s">
        <v>854</v>
      </c>
      <c r="H174" s="102"/>
      <c r="J174" s="98">
        <f t="shared" ref="J174:K174" si="279" xml:space="preserve"> IF( J$19 &lt;&gt; 0, J$20 * J58 * days_in_year / hundred / J$19, "")</f>
        <v>0</v>
      </c>
      <c r="K174" s="98">
        <f t="shared" si="279"/>
        <v>0</v>
      </c>
      <c r="L174" s="98">
        <f t="shared" ref="L174:M174" si="280" xml:space="preserve"> IF( L$19 &lt;&gt; 0, L$20 * L58 * days_in_year / hundred / L$19, "")</f>
        <v>0</v>
      </c>
      <c r="M174" s="98">
        <f t="shared" si="280"/>
        <v>0</v>
      </c>
      <c r="N174" s="98">
        <f t="shared" ref="N174:P174" si="281" xml:space="preserve"> IF( N$19 &lt;&gt; 0, N$20 * N58 * days_in_year / hundred / N$19, "")</f>
        <v>774.96109732151365</v>
      </c>
      <c r="O174" s="98">
        <f t="shared" si="281"/>
        <v>0</v>
      </c>
      <c r="P174" s="98">
        <f t="shared" si="281"/>
        <v>0</v>
      </c>
      <c r="Q174" s="98" t="str">
        <f t="shared" ref="Q174:S174" si="282" xml:space="preserve"> IF( Q$19 &lt;&gt; 0, Q$20 * Q58 * days_in_year / hundred / Q$19, "")</f>
        <v/>
      </c>
      <c r="R174" s="98" t="str">
        <f t="shared" si="282"/>
        <v/>
      </c>
      <c r="S174" s="98" t="str">
        <f t="shared" si="282"/>
        <v/>
      </c>
      <c r="T174" s="98">
        <f t="shared" ref="T174:V174" si="283" xml:space="preserve"> IF( T$19 &lt;&gt; 0, T$20 * T58 * days_in_year / hundred / T$19, "")</f>
        <v>0</v>
      </c>
      <c r="U174" s="98">
        <f t="shared" si="283"/>
        <v>0</v>
      </c>
      <c r="V174" s="98">
        <f t="shared" si="283"/>
        <v>0</v>
      </c>
      <c r="W174" s="98">
        <f t="shared" ref="W174:X174" si="284" xml:space="preserve"> IF( W$19 &lt;&gt; 0, W$20 * W58 * days_in_year / hundred / W$19, "")</f>
        <v>0</v>
      </c>
      <c r="X174" s="98" t="str">
        <f t="shared" si="284"/>
        <v/>
      </c>
      <c r="Y174" s="98">
        <f t="shared" ref="Y174:Z174" si="285" xml:space="preserve"> IF( Y$19 &lt;&gt; 0, Y$20 * Y58 * days_in_year / hundred / Y$19, "")</f>
        <v>0</v>
      </c>
      <c r="Z174" s="98" t="str">
        <f t="shared" si="285"/>
        <v/>
      </c>
      <c r="AA174" s="98">
        <f t="shared" ref="AA174:AB174" si="286" xml:space="preserve"> IF( AA$19 &lt;&gt; 0, AA$20 * AA58 * days_in_year / hundred / AA$19, "")</f>
        <v>0</v>
      </c>
      <c r="AB174" s="98" t="str">
        <f t="shared" si="286"/>
        <v/>
      </c>
    </row>
    <row r="175" spans="2:30" x14ac:dyDescent="0.25">
      <c r="E175" s="28"/>
      <c r="F175" t="s">
        <v>160</v>
      </c>
      <c r="G175" s="13" t="s">
        <v>854</v>
      </c>
      <c r="H175" s="102"/>
      <c r="J175" s="98">
        <f t="shared" ref="J175:K175" si="287" xml:space="preserve"> IF( J$19 &lt;&gt; 0, J$21 * J59 * days_in_year / hundred / J$19, "")</f>
        <v>0</v>
      </c>
      <c r="K175" s="98">
        <f t="shared" si="287"/>
        <v>0</v>
      </c>
      <c r="L175" s="98">
        <f t="shared" ref="L175:M175" si="288" xml:space="preserve"> IF( L$19 &lt;&gt; 0, L$21 * L59 * days_in_year / hundred / L$19, "")</f>
        <v>0</v>
      </c>
      <c r="M175" s="98">
        <f t="shared" si="288"/>
        <v>0</v>
      </c>
      <c r="N175" s="98">
        <f t="shared" ref="N175:P175" si="289" xml:space="preserve"> IF( N$19 &lt;&gt; 0, N$21 * N59 * days_in_year / hundred / N$19, "")</f>
        <v>23.123647626537032</v>
      </c>
      <c r="O175" s="98">
        <f t="shared" si="289"/>
        <v>0</v>
      </c>
      <c r="P175" s="98">
        <f t="shared" si="289"/>
        <v>0</v>
      </c>
      <c r="Q175" s="98" t="str">
        <f t="shared" ref="Q175:S175" si="290" xml:space="preserve"> IF( Q$19 &lt;&gt; 0, Q$21 * Q59 * days_in_year / hundred / Q$19, "")</f>
        <v/>
      </c>
      <c r="R175" s="98" t="str">
        <f t="shared" si="290"/>
        <v/>
      </c>
      <c r="S175" s="98" t="str">
        <f t="shared" si="290"/>
        <v/>
      </c>
      <c r="T175" s="98">
        <f t="shared" ref="T175:V175" si="291" xml:space="preserve"> IF( T$19 &lt;&gt; 0, T$21 * T59 * days_in_year / hundred / T$19, "")</f>
        <v>0</v>
      </c>
      <c r="U175" s="98">
        <f t="shared" si="291"/>
        <v>0</v>
      </c>
      <c r="V175" s="98">
        <f t="shared" si="291"/>
        <v>0</v>
      </c>
      <c r="W175" s="98">
        <f t="shared" ref="W175:X175" si="292" xml:space="preserve"> IF( W$19 &lt;&gt; 0, W$21 * W59 * days_in_year / hundred / W$19, "")</f>
        <v>0</v>
      </c>
      <c r="X175" s="98" t="str">
        <f t="shared" si="292"/>
        <v/>
      </c>
      <c r="Y175" s="98">
        <f t="shared" ref="Y175:Z175" si="293" xml:space="preserve"> IF( Y$19 &lt;&gt; 0, Y$21 * Y59 * days_in_year / hundred / Y$19, "")</f>
        <v>0</v>
      </c>
      <c r="Z175" s="98" t="str">
        <f t="shared" si="293"/>
        <v/>
      </c>
      <c r="AA175" s="98">
        <f t="shared" ref="AA175:AB175" si="294" xml:space="preserve"> IF( AA$19 &lt;&gt; 0, AA$21 * AA59 * days_in_year / hundred / AA$19, "")</f>
        <v>0</v>
      </c>
      <c r="AB175" s="98" t="str">
        <f t="shared" si="294"/>
        <v/>
      </c>
    </row>
    <row r="176" spans="2:30" x14ac:dyDescent="0.25">
      <c r="E176" s="28"/>
      <c r="F176" s="23" t="s">
        <v>161</v>
      </c>
      <c r="G176" s="85" t="s">
        <v>854</v>
      </c>
      <c r="H176" s="222"/>
      <c r="I176" s="23"/>
      <c r="J176" s="126">
        <f t="shared" ref="J176:K176" si="295" xml:space="preserve"> IF( J$19 &lt;&gt; 0, J$22 * thousand * J60 / hundred / J$19, "")</f>
        <v>0</v>
      </c>
      <c r="K176" s="126">
        <f t="shared" si="295"/>
        <v>0</v>
      </c>
      <c r="L176" s="126">
        <f t="shared" ref="L176:M176" si="296" xml:space="preserve"> IF( L$19 &lt;&gt; 0, L$22 * thousand * L60 / hundred / L$19, "")</f>
        <v>0</v>
      </c>
      <c r="M176" s="126">
        <f t="shared" si="296"/>
        <v>0</v>
      </c>
      <c r="N176" s="126">
        <f t="shared" ref="N176:P176" si="297" xml:space="preserve"> IF( N$19 &lt;&gt; 0, N$22 * thousand * N60 / hundred / N$19, "")</f>
        <v>32.975464684014867</v>
      </c>
      <c r="O176" s="126">
        <f t="shared" si="297"/>
        <v>0</v>
      </c>
      <c r="P176" s="126">
        <f t="shared" si="297"/>
        <v>0</v>
      </c>
      <c r="Q176" s="126" t="str">
        <f t="shared" ref="Q176:S176" si="298" xml:space="preserve"> IF( Q$19 &lt;&gt; 0, Q$22 * thousand * Q60 / hundred / Q$19, "")</f>
        <v/>
      </c>
      <c r="R176" s="126" t="str">
        <f t="shared" si="298"/>
        <v/>
      </c>
      <c r="S176" s="126" t="str">
        <f t="shared" si="298"/>
        <v/>
      </c>
      <c r="T176" s="126">
        <f t="shared" ref="T176:V176" si="299" xml:space="preserve"> IF( T$19 &lt;&gt; 0, T$22 * thousand * T60 / hundred / T$19, "")</f>
        <v>0</v>
      </c>
      <c r="U176" s="126">
        <f t="shared" si="299"/>
        <v>0</v>
      </c>
      <c r="V176" s="126">
        <f t="shared" si="299"/>
        <v>0</v>
      </c>
      <c r="W176" s="126">
        <f t="shared" ref="W176:X176" si="300" xml:space="preserve"> IF( W$19 &lt;&gt; 0, W$22 * thousand * W60 / hundred / W$19, "")</f>
        <v>19.147372881355935</v>
      </c>
      <c r="X176" s="126" t="str">
        <f t="shared" si="300"/>
        <v/>
      </c>
      <c r="Y176" s="126">
        <f t="shared" ref="Y176:Z176" si="301" xml:space="preserve"> IF( Y$19 &lt;&gt; 0, Y$22 * thousand * Y60 / hundred / Y$19, "")</f>
        <v>0</v>
      </c>
      <c r="Z176" s="126" t="str">
        <f t="shared" si="301"/>
        <v/>
      </c>
      <c r="AA176" s="126">
        <f t="shared" ref="AA176:AB176" si="302" xml:space="preserve"> IF( AA$19 &lt;&gt; 0, AA$22 * thousand * AA60 / hundred / AA$19, "")</f>
        <v>0</v>
      </c>
      <c r="AB176" s="126" t="str">
        <f t="shared" si="302"/>
        <v/>
      </c>
    </row>
    <row r="177" spans="3:30" x14ac:dyDescent="0.25">
      <c r="E177" s="28"/>
      <c r="F177" s="108" t="s">
        <v>99</v>
      </c>
      <c r="G177" s="218" t="s">
        <v>854</v>
      </c>
      <c r="H177" s="223"/>
      <c r="I177" s="108"/>
      <c r="J177" s="153">
        <f t="shared" ref="J177:K177" si="303">SUM(J170:J176)</f>
        <v>61.643149691886883</v>
      </c>
      <c r="K177" s="153">
        <f t="shared" si="303"/>
        <v>21.260680761551718</v>
      </c>
      <c r="L177" s="153">
        <f t="shared" ref="L177:M177" si="304">SUM(L170:L176)</f>
        <v>283.82987866033562</v>
      </c>
      <c r="M177" s="153">
        <f t="shared" si="304"/>
        <v>135.22183489912251</v>
      </c>
      <c r="N177" s="153">
        <f t="shared" ref="N177:P177" si="305">SUM(N170:N176)</f>
        <v>4367.3060256682656</v>
      </c>
      <c r="O177" s="153">
        <f t="shared" si="305"/>
        <v>0</v>
      </c>
      <c r="P177" s="153">
        <f t="shared" si="305"/>
        <v>0</v>
      </c>
      <c r="Q177" s="153">
        <f t="shared" ref="Q177:S177" si="306">SUM(Q170:Q176)</f>
        <v>0</v>
      </c>
      <c r="R177" s="153">
        <f t="shared" si="306"/>
        <v>0</v>
      </c>
      <c r="S177" s="153">
        <f t="shared" si="306"/>
        <v>0</v>
      </c>
      <c r="T177" s="153">
        <f t="shared" ref="T177:V177" si="307">SUM(T170:T176)</f>
        <v>925.76433013367534</v>
      </c>
      <c r="U177" s="153">
        <f t="shared" si="307"/>
        <v>-77.999909975132695</v>
      </c>
      <c r="V177" s="153">
        <f t="shared" si="307"/>
        <v>0</v>
      </c>
      <c r="W177" s="153">
        <f t="shared" ref="W177:X177" si="308">SUM(W170:W176)</f>
        <v>-1196.0325207902247</v>
      </c>
      <c r="X177" s="153">
        <f t="shared" si="308"/>
        <v>0</v>
      </c>
      <c r="Y177" s="153">
        <f t="shared" ref="Y177:Z177" si="309">SUM(Y170:Y176)</f>
        <v>0</v>
      </c>
      <c r="Z177" s="153">
        <f t="shared" si="309"/>
        <v>0</v>
      </c>
      <c r="AA177" s="153">
        <f t="shared" ref="AA177:AB177" si="310">SUM(AA170:AA176)</f>
        <v>0</v>
      </c>
      <c r="AB177" s="153">
        <f t="shared" si="310"/>
        <v>0</v>
      </c>
    </row>
    <row r="178" spans="3:30" x14ac:dyDescent="0.25">
      <c r="D178" s="28"/>
      <c r="G178" s="13"/>
      <c r="J178" s="89"/>
      <c r="K178" s="89"/>
      <c r="L178" s="89"/>
      <c r="M178" s="89"/>
      <c r="N178" s="89"/>
      <c r="O178" s="89"/>
      <c r="P178" s="89"/>
      <c r="Q178" s="89"/>
      <c r="R178" s="89"/>
      <c r="S178" s="89"/>
      <c r="T178" s="89"/>
      <c r="U178" s="89"/>
      <c r="V178" s="89"/>
      <c r="W178" s="89"/>
      <c r="X178" s="89"/>
      <c r="Y178" s="89"/>
      <c r="Z178" s="89"/>
      <c r="AA178" s="89"/>
      <c r="AB178" s="89"/>
    </row>
    <row r="179" spans="3:30" x14ac:dyDescent="0.25">
      <c r="E179" s="32" t="s">
        <v>855</v>
      </c>
      <c r="G179" s="13"/>
      <c r="H179" s="128"/>
      <c r="J179" s="89"/>
      <c r="K179" s="89"/>
      <c r="L179" s="89"/>
      <c r="M179" s="89"/>
      <c r="N179" s="89"/>
      <c r="O179" s="89"/>
      <c r="P179" s="89"/>
      <c r="Q179" s="89"/>
      <c r="R179" s="89"/>
      <c r="S179" s="89"/>
      <c r="T179" s="89"/>
      <c r="U179" s="89"/>
      <c r="V179" s="89"/>
      <c r="W179" s="89"/>
      <c r="X179" s="89"/>
      <c r="Y179" s="89"/>
      <c r="Z179" s="89"/>
      <c r="AA179" s="89"/>
      <c r="AB179" s="89"/>
    </row>
    <row r="180" spans="3:30" x14ac:dyDescent="0.25">
      <c r="E180" s="29" t="s">
        <v>856</v>
      </c>
      <c r="J180" s="89"/>
      <c r="K180" s="89"/>
      <c r="L180" s="89"/>
      <c r="M180" s="89"/>
      <c r="N180" s="89"/>
      <c r="O180" s="89"/>
      <c r="P180" s="89"/>
      <c r="Q180" s="89"/>
      <c r="R180" s="89"/>
      <c r="S180" s="89"/>
      <c r="T180" s="89"/>
      <c r="U180" s="89"/>
      <c r="V180" s="89"/>
      <c r="W180" s="89"/>
      <c r="X180" s="89"/>
      <c r="Y180" s="89"/>
      <c r="Z180" s="89"/>
      <c r="AA180" s="89"/>
      <c r="AB180" s="89"/>
    </row>
    <row r="181" spans="3:30" x14ac:dyDescent="0.25">
      <c r="C181" s="88"/>
      <c r="F181" s="23" t="s">
        <v>155</v>
      </c>
      <c r="G181" s="85" t="s">
        <v>854</v>
      </c>
      <c r="H181" s="222"/>
      <c r="I181" s="23"/>
      <c r="J181" s="126">
        <f t="shared" ref="J181:K181" si="311" xml:space="preserve"> IF( J$19 &lt;&gt; 0, J$16 * thousand * J63 / hundred / J$19,"")</f>
        <v>15.820923409502887</v>
      </c>
      <c r="K181" s="126">
        <f t="shared" si="311"/>
        <v>0.53336109567265289</v>
      </c>
      <c r="L181" s="126">
        <f t="shared" ref="L181:M181" si="312" xml:space="preserve"> IF( L$19 &lt;&gt; 0, L$16 * thousand * L63 / hundred / L$19,"")</f>
        <v>69.117279881313834</v>
      </c>
      <c r="M181" s="126">
        <f t="shared" si="312"/>
        <v>25.803861519216639</v>
      </c>
      <c r="N181" s="126">
        <f t="shared" ref="N181:P181" si="313" xml:space="preserve"> IF( N$19 &lt;&gt; 0, N$16 * thousand * N63 / hundred / N$19,"")</f>
        <v>852.62605706345107</v>
      </c>
      <c r="O181" s="126">
        <f t="shared" si="313"/>
        <v>3408.7845587139996</v>
      </c>
      <c r="P181" s="126">
        <f t="shared" si="313"/>
        <v>8255.5338511643131</v>
      </c>
      <c r="Q181" s="126" t="str">
        <f t="shared" ref="Q181:S181" si="314" xml:space="preserve"> IF( Q$19 &lt;&gt; 0, Q$16 * thousand * Q63 / hundred / Q$19,"")</f>
        <v/>
      </c>
      <c r="R181" s="126" t="str">
        <f t="shared" si="314"/>
        <v/>
      </c>
      <c r="S181" s="126" t="str">
        <f t="shared" si="314"/>
        <v/>
      </c>
      <c r="T181" s="126">
        <f t="shared" ref="T181:V181" si="315" xml:space="preserve"> IF( T$19 &lt;&gt; 0, T$16 * thousand * T63 / hundred / T$19,"")</f>
        <v>256.21029863174124</v>
      </c>
      <c r="U181" s="126">
        <f t="shared" si="315"/>
        <v>-53.693473233705063</v>
      </c>
      <c r="V181" s="126">
        <f t="shared" si="315"/>
        <v>-40.927070693542461</v>
      </c>
      <c r="W181" s="126">
        <f t="shared" ref="W181:X181" si="316" xml:space="preserve"> IF( W$19 &lt;&gt; 0, W$16 * thousand * W63 / hundred / W$19,"")</f>
        <v>-836.69973866337341</v>
      </c>
      <c r="X181" s="126" t="str">
        <f t="shared" si="316"/>
        <v/>
      </c>
      <c r="Y181" s="126">
        <f t="shared" ref="Y181:Z181" si="317" xml:space="preserve"> IF( Y$19 &lt;&gt; 0, Y$16 * thousand * Y63 / hundred / Y$19,"")</f>
        <v>-1028.3873924090883</v>
      </c>
      <c r="Z181" s="126" t="str">
        <f t="shared" si="317"/>
        <v/>
      </c>
      <c r="AA181" s="126">
        <f t="shared" ref="AA181:AB181" si="318" xml:space="preserve"> IF( AA$19 &lt;&gt; 0, AA$16 * thousand * AA63 / hundred / AA$19,"")</f>
        <v>-16992.589382568018</v>
      </c>
      <c r="AB181" s="126" t="str">
        <f t="shared" si="318"/>
        <v/>
      </c>
    </row>
    <row r="182" spans="3:30" x14ac:dyDescent="0.25">
      <c r="C182" s="88"/>
      <c r="F182" t="s">
        <v>156</v>
      </c>
      <c r="G182" s="13" t="s">
        <v>854</v>
      </c>
      <c r="H182" s="102"/>
      <c r="J182" s="98">
        <f t="shared" ref="J182:K182" si="319" xml:space="preserve"> IF( J$19 &lt;&gt; 0, J$17 * thousand * J64 / hundred / J$19, "")</f>
        <v>11.24124161386737</v>
      </c>
      <c r="K182" s="98">
        <f t="shared" si="319"/>
        <v>1.9312523562213582</v>
      </c>
      <c r="L182" s="98">
        <f t="shared" ref="L182:M182" si="320" xml:space="preserve"> IF( L$19 &lt;&gt; 0, L$17 * thousand * L64 / hundred / L$19, "")</f>
        <v>70.046241095335148</v>
      </c>
      <c r="M182" s="98">
        <f t="shared" si="320"/>
        <v>29.297159965062907</v>
      </c>
      <c r="N182" s="98">
        <f t="shared" ref="N182:P182" si="321" xml:space="preserve"> IF( N$19 &lt;&gt; 0, N$17 * thousand * N64 / hundred / N$19, "")</f>
        <v>906.23499672897833</v>
      </c>
      <c r="O182" s="98">
        <f t="shared" si="321"/>
        <v>4518.6747905046041</v>
      </c>
      <c r="P182" s="98">
        <f t="shared" si="321"/>
        <v>12469.40259327811</v>
      </c>
      <c r="Q182" s="98" t="str">
        <f t="shared" ref="Q182:S182" si="322" xml:space="preserve"> IF( Q$19 &lt;&gt; 0, Q$17 * thousand * Q64 / hundred / Q$19, "")</f>
        <v/>
      </c>
      <c r="R182" s="98" t="str">
        <f t="shared" si="322"/>
        <v/>
      </c>
      <c r="S182" s="98" t="str">
        <f t="shared" si="322"/>
        <v/>
      </c>
      <c r="T182" s="98">
        <f t="shared" ref="T182:V182" si="323" xml:space="preserve"> IF( T$19 &lt;&gt; 0, T$17 * thousand * T64 / hundred / T$19, "")</f>
        <v>100.17140079908083</v>
      </c>
      <c r="U182" s="98">
        <f t="shared" si="323"/>
        <v>-23.637530259930589</v>
      </c>
      <c r="V182" s="98">
        <f t="shared" si="323"/>
        <v>-16.245480261485987</v>
      </c>
      <c r="W182" s="98">
        <f t="shared" ref="W182:X182" si="324" xml:space="preserve"> IF( W$19 &lt;&gt; 0, W$17 * thousand * W64 / hundred / W$19, "")</f>
        <v>-367.9780274361533</v>
      </c>
      <c r="X182" s="98" t="str">
        <f t="shared" si="324"/>
        <v/>
      </c>
      <c r="Y182" s="98">
        <f t="shared" ref="Y182:Z182" si="325" xml:space="preserve"> IF( Y$19 &lt;&gt; 0, Y$17 * thousand * Y64 / hundred / Y$19, "")</f>
        <v>-409.18326417571603</v>
      </c>
      <c r="Z182" s="98" t="str">
        <f t="shared" si="325"/>
        <v/>
      </c>
      <c r="AA182" s="98">
        <f t="shared" ref="AA182:AB182" si="326" xml:space="preserve"> IF( AA$19 &lt;&gt; 0, AA$17 * thousand * AA64 / hundred / AA$19, "")</f>
        <v>-5517.1423850991241</v>
      </c>
      <c r="AB182" s="98" t="str">
        <f t="shared" si="326"/>
        <v/>
      </c>
    </row>
    <row r="183" spans="3:30" x14ac:dyDescent="0.25">
      <c r="C183" s="88"/>
      <c r="F183" t="s">
        <v>157</v>
      </c>
      <c r="G183" s="13" t="s">
        <v>854</v>
      </c>
      <c r="H183" s="102"/>
      <c r="J183" s="98">
        <f t="shared" ref="J183:K183" si="327" xml:space="preserve"> IF( J$19 &lt;&gt; 0, J$18 * thousand * J65 / hundred / J$19, "")</f>
        <v>5.967177360470771</v>
      </c>
      <c r="K183" s="98">
        <f t="shared" si="327"/>
        <v>11.370957700502752</v>
      </c>
      <c r="L183" s="98">
        <f t="shared" ref="L183:M183" si="328" xml:space="preserve"> IF( L$19 &lt;&gt; 0, L$18 * thousand * L65 / hundred / L$19, "")</f>
        <v>36.539785972501903</v>
      </c>
      <c r="M183" s="98">
        <f t="shared" si="328"/>
        <v>32.846308944853654</v>
      </c>
      <c r="N183" s="98">
        <f t="shared" ref="N183:P183" si="329" xml:space="preserve"> IF( N$19 &lt;&gt; 0, N$18 * thousand * N65 / hundred / N$19, "")</f>
        <v>507.51052799415561</v>
      </c>
      <c r="O183" s="98">
        <f t="shared" si="329"/>
        <v>3464.6259412347454</v>
      </c>
      <c r="P183" s="98">
        <f t="shared" si="329"/>
        <v>10975.709025801143</v>
      </c>
      <c r="Q183" s="98" t="str">
        <f t="shared" ref="Q183:S183" si="330" xml:space="preserve"> IF( Q$19 &lt;&gt; 0, Q$18 * thousand * Q65 / hundred / Q$19, "")</f>
        <v/>
      </c>
      <c r="R183" s="98" t="str">
        <f t="shared" si="330"/>
        <v/>
      </c>
      <c r="S183" s="98" t="str">
        <f t="shared" si="330"/>
        <v/>
      </c>
      <c r="T183" s="98">
        <f t="shared" ref="T183:V183" si="331" xml:space="preserve"> IF( T$19 &lt;&gt; 0, T$18 * thousand * T65 / hundred / T$19, "")</f>
        <v>245.83062806906392</v>
      </c>
      <c r="U183" s="98">
        <f t="shared" si="331"/>
        <v>-0.66890648149705323</v>
      </c>
      <c r="V183" s="98">
        <f t="shared" si="331"/>
        <v>-0.56022248646473261</v>
      </c>
      <c r="W183" s="98">
        <f t="shared" ref="W183:X183" si="332" xml:space="preserve"> IF( W$19 &lt;&gt; 0, W$18 * thousand * W65 / hundred / W$19, "")</f>
        <v>-10.502127572053908</v>
      </c>
      <c r="X183" s="98" t="str">
        <f t="shared" si="332"/>
        <v/>
      </c>
      <c r="Y183" s="98">
        <f t="shared" ref="Y183:Z183" si="333" xml:space="preserve"> IF( Y$19 &lt;&gt; 0, Y$18 * thousand * Y65 / hundred / Y$19, "")</f>
        <v>-14.127382789173241</v>
      </c>
      <c r="Z183" s="98" t="str">
        <f t="shared" si="333"/>
        <v/>
      </c>
      <c r="AA183" s="98">
        <f t="shared" ref="AA183:AB183" si="334" xml:space="preserve"> IF( AA$19 &lt;&gt; 0, AA$18 * thousand * AA65 / hundred / AA$19, "")</f>
        <v>-119.425686475039</v>
      </c>
      <c r="AB183" s="98" t="str">
        <f t="shared" si="334"/>
        <v/>
      </c>
    </row>
    <row r="184" spans="3:30" x14ac:dyDescent="0.25">
      <c r="C184" s="88"/>
      <c r="F184" s="23" t="s">
        <v>158</v>
      </c>
      <c r="G184" s="85" t="s">
        <v>854</v>
      </c>
      <c r="H184" s="222"/>
      <c r="I184" s="23"/>
      <c r="J184" s="126">
        <f t="shared" ref="J184:K184" si="335" xml:space="preserve"> IF( J$19 &lt;&gt; 0, J$19 * J66 * days_in_year / hundred / J$19, "")</f>
        <v>7.3</v>
      </c>
      <c r="K184" s="126">
        <f t="shared" si="335"/>
        <v>0</v>
      </c>
      <c r="L184" s="126">
        <f t="shared" ref="L184:M184" si="336" xml:space="preserve"> IF( L$19 &lt;&gt; 0, L$19 * L66 * days_in_year / hundred / L$19, "")</f>
        <v>9.125</v>
      </c>
      <c r="M184" s="126">
        <f t="shared" si="336"/>
        <v>0</v>
      </c>
      <c r="N184" s="126">
        <f t="shared" ref="N184:P184" si="337" xml:space="preserve"> IF( N$19 &lt;&gt; 0, N$19 * N66 * days_in_year / hundred / N$19, "")</f>
        <v>34.31</v>
      </c>
      <c r="O184" s="126">
        <f t="shared" si="337"/>
        <v>20.184500000000003</v>
      </c>
      <c r="P184" s="126">
        <f t="shared" si="337"/>
        <v>339.77850000000007</v>
      </c>
      <c r="Q184" s="126" t="str">
        <f t="shared" ref="Q184:S184" si="338" xml:space="preserve"> IF( Q$19 &lt;&gt; 0, Q$19 * Q66 * days_in_year / hundred / Q$19, "")</f>
        <v/>
      </c>
      <c r="R184" s="126" t="str">
        <f t="shared" si="338"/>
        <v/>
      </c>
      <c r="S184" s="126" t="str">
        <f t="shared" si="338"/>
        <v/>
      </c>
      <c r="T184" s="126">
        <f t="shared" ref="T184:V184" si="339" xml:space="preserve"> IF( T$19 &lt;&gt; 0, T$19 * T66 * days_in_year / hundred / T$19, "")</f>
        <v>0</v>
      </c>
      <c r="U184" s="126">
        <f t="shared" si="339"/>
        <v>0</v>
      </c>
      <c r="V184" s="126">
        <f t="shared" si="339"/>
        <v>0</v>
      </c>
      <c r="W184" s="126">
        <f t="shared" ref="W184:X184" si="340" xml:space="preserve"> IF( W$19 &lt;&gt; 0, W$19 * W66 * days_in_year / hundred / W$19, "")</f>
        <v>0</v>
      </c>
      <c r="X184" s="126" t="str">
        <f t="shared" si="340"/>
        <v/>
      </c>
      <c r="Y184" s="126">
        <f t="shared" ref="Y184:Z184" si="341" xml:space="preserve"> IF( Y$19 &lt;&gt; 0, Y$19 * Y66 * days_in_year / hundred / Y$19, "")</f>
        <v>0</v>
      </c>
      <c r="Z184" s="126" t="str">
        <f t="shared" si="341"/>
        <v/>
      </c>
      <c r="AA184" s="126">
        <f t="shared" ref="AA184:AB184" si="342" xml:space="preserve"> IF( AA$19 &lt;&gt; 0, AA$19 * AA66 * days_in_year / hundred / AA$19, "")</f>
        <v>0</v>
      </c>
      <c r="AB184" s="126" t="str">
        <f t="shared" si="342"/>
        <v/>
      </c>
    </row>
    <row r="185" spans="3:30" x14ac:dyDescent="0.25">
      <c r="C185" s="88"/>
      <c r="F185" t="s">
        <v>159</v>
      </c>
      <c r="G185" s="13" t="s">
        <v>854</v>
      </c>
      <c r="H185" s="102"/>
      <c r="J185" s="98">
        <f t="shared" ref="J185:K185" si="343" xml:space="preserve"> IF( J$19 &lt;&gt; 0, J$20 * J67 * days_in_year / hundred / J$19, "")</f>
        <v>0</v>
      </c>
      <c r="K185" s="98">
        <f t="shared" si="343"/>
        <v>0</v>
      </c>
      <c r="L185" s="98">
        <f t="shared" ref="L185:M185" si="344" xml:space="preserve"> IF( L$19 &lt;&gt; 0, L$20 * L67 * days_in_year / hundred / L$19, "")</f>
        <v>0</v>
      </c>
      <c r="M185" s="98">
        <f t="shared" si="344"/>
        <v>0</v>
      </c>
      <c r="N185" s="98">
        <f t="shared" ref="N185:P185" si="345" xml:space="preserve"> IF( N$19 &lt;&gt; 0, N$20 * N67 * days_in_year / hundred / N$19, "")</f>
        <v>504.7443989133543</v>
      </c>
      <c r="O185" s="98">
        <f t="shared" si="345"/>
        <v>4540.83</v>
      </c>
      <c r="P185" s="98">
        <f t="shared" si="345"/>
        <v>13820.075694908512</v>
      </c>
      <c r="Q185" s="98" t="str">
        <f t="shared" ref="Q185:S185" si="346" xml:space="preserve"> IF( Q$19 &lt;&gt; 0, Q$20 * Q67 * days_in_year / hundred / Q$19, "")</f>
        <v/>
      </c>
      <c r="R185" s="98" t="str">
        <f t="shared" si="346"/>
        <v/>
      </c>
      <c r="S185" s="98" t="str">
        <f t="shared" si="346"/>
        <v/>
      </c>
      <c r="T185" s="98">
        <f t="shared" ref="T185:V185" si="347" xml:space="preserve"> IF( T$19 &lt;&gt; 0, T$20 * T67 * days_in_year / hundred / T$19, "")</f>
        <v>0</v>
      </c>
      <c r="U185" s="98">
        <f t="shared" si="347"/>
        <v>0</v>
      </c>
      <c r="V185" s="98">
        <f t="shared" si="347"/>
        <v>0</v>
      </c>
      <c r="W185" s="98">
        <f t="shared" ref="W185:X185" si="348" xml:space="preserve"> IF( W$19 &lt;&gt; 0, W$20 * W67 * days_in_year / hundred / W$19, "")</f>
        <v>0</v>
      </c>
      <c r="X185" s="98" t="str">
        <f t="shared" si="348"/>
        <v/>
      </c>
      <c r="Y185" s="98">
        <f t="shared" ref="Y185:Z185" si="349" xml:space="preserve"> IF( Y$19 &lt;&gt; 0, Y$20 * Y67 * days_in_year / hundred / Y$19, "")</f>
        <v>0</v>
      </c>
      <c r="Z185" s="98" t="str">
        <f t="shared" si="349"/>
        <v/>
      </c>
      <c r="AA185" s="98">
        <f t="shared" ref="AA185:AB185" si="350" xml:space="preserve"> IF( AA$19 &lt;&gt; 0, AA$20 * AA67 * days_in_year / hundred / AA$19, "")</f>
        <v>0</v>
      </c>
      <c r="AB185" s="98" t="str">
        <f t="shared" si="350"/>
        <v/>
      </c>
    </row>
    <row r="186" spans="3:30" x14ac:dyDescent="0.25">
      <c r="C186" s="88"/>
      <c r="F186" t="s">
        <v>160</v>
      </c>
      <c r="G186" s="13" t="s">
        <v>854</v>
      </c>
      <c r="H186" s="102"/>
      <c r="J186" s="98">
        <f t="shared" ref="J186:K186" si="351" xml:space="preserve"> IF( J$19 &lt;&gt; 0, J$21 * J68 * days_in_year / hundred / J$19, "")</f>
        <v>0</v>
      </c>
      <c r="K186" s="98">
        <f t="shared" si="351"/>
        <v>0</v>
      </c>
      <c r="L186" s="98">
        <f t="shared" ref="L186:M186" si="352" xml:space="preserve"> IF( L$19 &lt;&gt; 0, L$21 * L68 * days_in_year / hundred / L$19, "")</f>
        <v>0</v>
      </c>
      <c r="M186" s="98">
        <f t="shared" si="352"/>
        <v>0</v>
      </c>
      <c r="N186" s="98">
        <f t="shared" ref="N186:P186" si="353" xml:space="preserve"> IF( N$19 &lt;&gt; 0, N$21 * N68 * days_in_year / hundred / N$19, "")</f>
        <v>15.004678015441808</v>
      </c>
      <c r="O186" s="98">
        <f t="shared" si="353"/>
        <v>58.187825000000004</v>
      </c>
      <c r="P186" s="98">
        <f t="shared" si="353"/>
        <v>216.34870097852027</v>
      </c>
      <c r="Q186" s="98" t="str">
        <f t="shared" ref="Q186:S186" si="354" xml:space="preserve"> IF( Q$19 &lt;&gt; 0, Q$21 * Q68 * days_in_year / hundred / Q$19, "")</f>
        <v/>
      </c>
      <c r="R186" s="98" t="str">
        <f t="shared" si="354"/>
        <v/>
      </c>
      <c r="S186" s="98" t="str">
        <f t="shared" si="354"/>
        <v/>
      </c>
      <c r="T186" s="98">
        <f t="shared" ref="T186:V186" si="355" xml:space="preserve"> IF( T$19 &lt;&gt; 0, T$21 * T68 * days_in_year / hundred / T$19, "")</f>
        <v>0</v>
      </c>
      <c r="U186" s="98">
        <f t="shared" si="355"/>
        <v>0</v>
      </c>
      <c r="V186" s="98">
        <f t="shared" si="355"/>
        <v>0</v>
      </c>
      <c r="W186" s="98">
        <f t="shared" ref="W186:X186" si="356" xml:space="preserve"> IF( W$19 &lt;&gt; 0, W$21 * W68 * days_in_year / hundred / W$19, "")</f>
        <v>0</v>
      </c>
      <c r="X186" s="98" t="str">
        <f t="shared" si="356"/>
        <v/>
      </c>
      <c r="Y186" s="98">
        <f t="shared" ref="Y186:Z186" si="357" xml:space="preserve"> IF( Y$19 &lt;&gt; 0, Y$21 * Y68 * days_in_year / hundred / Y$19, "")</f>
        <v>0</v>
      </c>
      <c r="Z186" s="98" t="str">
        <f t="shared" si="357"/>
        <v/>
      </c>
      <c r="AA186" s="98">
        <f t="shared" ref="AA186:AB186" si="358" xml:space="preserve"> IF( AA$19 &lt;&gt; 0, AA$21 * AA68 * days_in_year / hundred / AA$19, "")</f>
        <v>0</v>
      </c>
      <c r="AB186" s="98" t="str">
        <f t="shared" si="358"/>
        <v/>
      </c>
    </row>
    <row r="187" spans="3:30" x14ac:dyDescent="0.25">
      <c r="C187" s="88"/>
      <c r="F187" s="23" t="s">
        <v>161</v>
      </c>
      <c r="G187" s="85" t="s">
        <v>854</v>
      </c>
      <c r="H187" s="222"/>
      <c r="I187" s="23"/>
      <c r="J187" s="126">
        <f t="shared" ref="J187:K187" si="359" xml:space="preserve"> IF( J$19 &lt;&gt; 0, J$22 * thousand * J69 / hundred / J$19, "")</f>
        <v>0</v>
      </c>
      <c r="K187" s="126">
        <f t="shared" si="359"/>
        <v>0</v>
      </c>
      <c r="L187" s="126">
        <f t="shared" ref="L187:M187" si="360" xml:space="preserve"> IF( L$19 &lt;&gt; 0, L$22 * thousand * L69 / hundred / L$19, "")</f>
        <v>0</v>
      </c>
      <c r="M187" s="126">
        <f t="shared" si="360"/>
        <v>0</v>
      </c>
      <c r="N187" s="126">
        <f t="shared" ref="N187:P187" si="361" xml:space="preserve"> IF( N$19 &lt;&gt; 0, N$22 * thousand * N69 / hundred / N$19, "")</f>
        <v>21.445581927366316</v>
      </c>
      <c r="O187" s="126">
        <f t="shared" si="361"/>
        <v>77.295890410958904</v>
      </c>
      <c r="P187" s="126">
        <f t="shared" si="361"/>
        <v>151.27446300715991</v>
      </c>
      <c r="Q187" s="126" t="str">
        <f t="shared" ref="Q187:S187" si="362" xml:space="preserve"> IF( Q$19 &lt;&gt; 0, Q$22 * thousand * Q69 / hundred / Q$19, "")</f>
        <v/>
      </c>
      <c r="R187" s="126" t="str">
        <f t="shared" si="362"/>
        <v/>
      </c>
      <c r="S187" s="126" t="str">
        <f t="shared" si="362"/>
        <v/>
      </c>
      <c r="T187" s="126">
        <f t="shared" ref="T187:V187" si="363" xml:space="preserve"> IF( T$19 &lt;&gt; 0, T$22 * thousand * T69 / hundred / T$19, "")</f>
        <v>0</v>
      </c>
      <c r="U187" s="126">
        <f t="shared" si="363"/>
        <v>0</v>
      </c>
      <c r="V187" s="126">
        <f t="shared" si="363"/>
        <v>0</v>
      </c>
      <c r="W187" s="126">
        <f t="shared" ref="W187:X187" si="364" xml:space="preserve"> IF( W$19 &lt;&gt; 0, W$22 * thousand * W69 / hundred / W$19, "")</f>
        <v>19.147372881355935</v>
      </c>
      <c r="X187" s="126" t="str">
        <f t="shared" si="364"/>
        <v/>
      </c>
      <c r="Y187" s="126">
        <f t="shared" ref="Y187:Z187" si="365" xml:space="preserve"> IF( Y$19 &lt;&gt; 0, Y$22 * thousand * Y69 / hundred / Y$19, "")</f>
        <v>92.82</v>
      </c>
      <c r="Z187" s="126" t="str">
        <f t="shared" si="365"/>
        <v/>
      </c>
      <c r="AA187" s="126">
        <f t="shared" ref="AA187:AB187" si="366" xml:space="preserve"> IF( AA$19 &lt;&gt; 0, AA$22 * thousand * AA69 / hundred / AA$19, "")</f>
        <v>100.72094117647059</v>
      </c>
      <c r="AB187" s="126" t="str">
        <f t="shared" si="366"/>
        <v/>
      </c>
    </row>
    <row r="188" spans="3:30" x14ac:dyDescent="0.25">
      <c r="C188" s="88"/>
      <c r="F188" s="108" t="s">
        <v>99</v>
      </c>
      <c r="G188" s="218" t="s">
        <v>854</v>
      </c>
      <c r="H188" s="223"/>
      <c r="I188" s="108"/>
      <c r="J188" s="153">
        <f t="shared" ref="J188:K188" si="367">SUM(J181:J187)</f>
        <v>40.329342383841023</v>
      </c>
      <c r="K188" s="153">
        <f t="shared" si="367"/>
        <v>13.835571152396763</v>
      </c>
      <c r="L188" s="153">
        <f t="shared" ref="L188:M188" si="368">SUM(L181:L187)</f>
        <v>184.82830694915089</v>
      </c>
      <c r="M188" s="153">
        <f t="shared" si="368"/>
        <v>87.947330429133189</v>
      </c>
      <c r="N188" s="153">
        <f t="shared" ref="N188:P188" si="369">SUM(N181:N187)</f>
        <v>2841.8762406427472</v>
      </c>
      <c r="O188" s="153">
        <f t="shared" si="369"/>
        <v>16088.583505864308</v>
      </c>
      <c r="P188" s="153">
        <f t="shared" si="369"/>
        <v>46228.122829137756</v>
      </c>
      <c r="Q188" s="153">
        <f t="shared" ref="Q188:S188" si="370">SUM(Q181:Q187)</f>
        <v>0</v>
      </c>
      <c r="R188" s="153">
        <f t="shared" si="370"/>
        <v>0</v>
      </c>
      <c r="S188" s="153">
        <f t="shared" si="370"/>
        <v>0</v>
      </c>
      <c r="T188" s="153">
        <f t="shared" ref="T188:V188" si="371">SUM(T181:T187)</f>
        <v>602.21232749988599</v>
      </c>
      <c r="U188" s="153">
        <f t="shared" si="371"/>
        <v>-77.999909975132695</v>
      </c>
      <c r="V188" s="153">
        <f t="shared" si="371"/>
        <v>-57.73277344149318</v>
      </c>
      <c r="W188" s="153">
        <f t="shared" ref="W188:X188" si="372">SUM(W181:W187)</f>
        <v>-1196.0325207902247</v>
      </c>
      <c r="X188" s="153">
        <f t="shared" si="372"/>
        <v>0</v>
      </c>
      <c r="Y188" s="153">
        <f t="shared" ref="Y188:Z188" si="373">SUM(Y181:Y187)</f>
        <v>-1358.8780393739776</v>
      </c>
      <c r="Z188" s="153">
        <f t="shared" si="373"/>
        <v>0</v>
      </c>
      <c r="AA188" s="153">
        <f t="shared" ref="AA188:AB188" si="374">SUM(AA181:AA187)</f>
        <v>-22528.436512965709</v>
      </c>
      <c r="AB188" s="153">
        <f t="shared" si="374"/>
        <v>0</v>
      </c>
    </row>
    <row r="189" spans="3:30" x14ac:dyDescent="0.25">
      <c r="C189" s="88"/>
      <c r="D189" s="2"/>
      <c r="E189" s="2"/>
      <c r="G189" s="13"/>
    </row>
    <row r="190" spans="3:30" x14ac:dyDescent="0.25">
      <c r="C190" s="31" t="str">
        <f ca="1">INDEX('Version control'!$H$34:$H$57,MATCH($A$1,'Version control'!$F$34:$F$57,0),1)&amp;"-K: LDNO margins"</f>
        <v>Section 118-K: LDNO margins</v>
      </c>
      <c r="D190" s="31"/>
      <c r="E190" s="31"/>
      <c r="F190" s="31"/>
      <c r="G190" s="31"/>
      <c r="H190" s="31"/>
      <c r="I190" s="31"/>
      <c r="J190" s="31"/>
      <c r="K190" s="31"/>
      <c r="L190" s="31"/>
      <c r="M190" s="31"/>
      <c r="N190" s="31"/>
      <c r="O190" s="31"/>
      <c r="P190" s="31"/>
      <c r="Q190" s="31"/>
      <c r="R190" s="31"/>
      <c r="S190" s="31"/>
      <c r="T190" s="31"/>
      <c r="U190" s="31"/>
      <c r="V190" s="31"/>
      <c r="W190" s="31"/>
      <c r="X190" s="31"/>
      <c r="Y190" s="31"/>
      <c r="Z190" s="31"/>
      <c r="AA190" s="31"/>
      <c r="AB190" s="31"/>
      <c r="AC190" s="31"/>
      <c r="AD190" s="31"/>
    </row>
    <row r="191" spans="3:30" x14ac:dyDescent="0.25">
      <c r="C191" s="88"/>
      <c r="D191" s="2"/>
      <c r="E191" s="2"/>
      <c r="G191" s="13"/>
    </row>
    <row r="192" spans="3:30" x14ac:dyDescent="0.25">
      <c r="C192" s="88"/>
      <c r="D192" s="2" t="s">
        <v>857</v>
      </c>
      <c r="E192" s="2"/>
      <c r="G192" s="13"/>
    </row>
    <row r="193" spans="2:30" x14ac:dyDescent="0.25">
      <c r="D193" s="32"/>
      <c r="G193" s="13"/>
      <c r="H193" s="128"/>
      <c r="J193" s="63"/>
      <c r="K193" s="63"/>
      <c r="L193" s="63"/>
      <c r="M193" s="63"/>
      <c r="N193" s="63"/>
      <c r="O193" s="63"/>
      <c r="P193" s="63"/>
      <c r="Q193" s="63"/>
      <c r="R193" s="63"/>
      <c r="S193" s="63"/>
      <c r="T193" s="63"/>
      <c r="U193" s="63"/>
      <c r="V193" s="63"/>
      <c r="W193" s="63"/>
      <c r="X193" s="63"/>
      <c r="Y193" s="63"/>
      <c r="Z193" s="63"/>
      <c r="AA193" s="63"/>
      <c r="AB193" s="63"/>
    </row>
    <row r="194" spans="2:30" x14ac:dyDescent="0.25">
      <c r="C194" s="88"/>
      <c r="D194" s="2"/>
      <c r="E194" t="s">
        <v>858</v>
      </c>
      <c r="G194" s="28" t="s">
        <v>166</v>
      </c>
      <c r="J194" s="111">
        <f t="shared" ref="J194:K194" si="375">IF( AND( ISNUMBER(J$128), J$128 &lt;&gt; 0), ( J$128 - J177 ) / J$128, "")</f>
        <v>0.38775576493270697</v>
      </c>
      <c r="K194" s="111">
        <f t="shared" si="375"/>
        <v>0.39060596960909194</v>
      </c>
      <c r="L194" s="111">
        <f t="shared" ref="L194:M194" si="376">IF( AND( ISNUMBER(L$128), L$128 &lt;&gt; 0), ( L$128 - L177 ) / L$128, "")</f>
        <v>0.3901871483159573</v>
      </c>
      <c r="M194" s="111">
        <f t="shared" si="376"/>
        <v>0.39078655474703078</v>
      </c>
      <c r="N194" s="111">
        <f t="shared" ref="N194:P194" si="377">IF( AND( ISNUMBER(N$128), N$128 &lt;&gt; 0), ( N$128 - N177 ) / N$128, "")</f>
        <v>0.39076873617111113</v>
      </c>
      <c r="O194" s="111">
        <f t="shared" si="377"/>
        <v>1</v>
      </c>
      <c r="P194" s="111">
        <f t="shared" si="377"/>
        <v>1</v>
      </c>
      <c r="Q194" s="111" t="str">
        <f t="shared" ref="Q194:S194" si="378">IF( AND( ISNUMBER(Q$128), Q$128 &lt;&gt; 0), ( Q$128 - Q177 ) / Q$128, "")</f>
        <v/>
      </c>
      <c r="R194" s="111" t="str">
        <f t="shared" si="378"/>
        <v/>
      </c>
      <c r="S194" s="111" t="str">
        <f t="shared" si="378"/>
        <v/>
      </c>
      <c r="T194" s="111">
        <f t="shared" ref="T194:V194" si="379">IF( AND( ISNUMBER(T$128), T$128 &lt;&gt; 0), ( T$128 - T177 ) / T$128, "")</f>
        <v>0.39054063090381952</v>
      </c>
      <c r="U194" s="111">
        <f t="shared" si="379"/>
        <v>1.8219065534476376E-16</v>
      </c>
      <c r="V194" s="111">
        <f t="shared" si="379"/>
        <v>1</v>
      </c>
      <c r="W194" s="111">
        <f t="shared" ref="W194:X194" si="380">IF( AND( ISNUMBER(W$128), W$128 &lt;&gt; 0), ( W$128 - W177 ) / W$128, "")</f>
        <v>0</v>
      </c>
      <c r="X194" s="111" t="str">
        <f t="shared" si="380"/>
        <v/>
      </c>
      <c r="Y194" s="111">
        <f t="shared" ref="Y194:Z194" si="381">IF( AND( ISNUMBER(Y$128), Y$128 &lt;&gt; 0), ( Y$128 - Y177 ) / Y$128, "")</f>
        <v>1</v>
      </c>
      <c r="Z194" s="111" t="str">
        <f t="shared" si="381"/>
        <v/>
      </c>
      <c r="AA194" s="111">
        <f t="shared" ref="AA194:AB194" si="382">IF( AND( ISNUMBER(AA$128), AA$128 &lt;&gt; 0), ( AA$128 - AA177 ) / AA$128, "")</f>
        <v>1</v>
      </c>
      <c r="AB194" s="111" t="str">
        <f t="shared" si="382"/>
        <v/>
      </c>
    </row>
    <row r="195" spans="2:30" x14ac:dyDescent="0.25">
      <c r="C195" s="88"/>
      <c r="D195" s="2"/>
      <c r="E195" t="s">
        <v>859</v>
      </c>
      <c r="G195" s="28" t="s">
        <v>166</v>
      </c>
      <c r="J195" s="111">
        <f t="shared" ref="J195:K195" si="383">IF( AND( ISNUMBER(J$128), J$128 &lt;&gt; 0), ( J$128 - J188 ) / J$128, "")</f>
        <v>0.59944604547337965</v>
      </c>
      <c r="K195" s="111">
        <f t="shared" si="383"/>
        <v>0.6034315851933294</v>
      </c>
      <c r="L195" s="111">
        <f t="shared" ref="L195:M195" si="384">IF( AND( ISNUMBER(L$128), L$128 &lt;&gt; 0), ( L$128 - L188 ) / L$128, "")</f>
        <v>0.60289354501864056</v>
      </c>
      <c r="M195" s="111">
        <f t="shared" si="384"/>
        <v>0.6037718596889029</v>
      </c>
      <c r="N195" s="111">
        <f t="shared" ref="N195:P195" si="385">IF( AND( ISNUMBER(N$128), N$128 &lt;&gt; 0), ( N$128 - N188 ) / N$128, "")</f>
        <v>0.60356342249518735</v>
      </c>
      <c r="O195" s="111">
        <f t="shared" si="385"/>
        <v>0.34825285963817704</v>
      </c>
      <c r="P195" s="111">
        <f t="shared" si="385"/>
        <v>0.25200059141389436</v>
      </c>
      <c r="Q195" s="111" t="str">
        <f t="shared" ref="Q195:S195" si="386">IF( AND( ISNUMBER(Q$128), Q$128 &lt;&gt; 0), ( Q$128 - Q188 ) / Q$128, "")</f>
        <v/>
      </c>
      <c r="R195" s="111" t="str">
        <f t="shared" si="386"/>
        <v/>
      </c>
      <c r="S195" s="111" t="str">
        <f t="shared" si="386"/>
        <v/>
      </c>
      <c r="T195" s="111">
        <f t="shared" ref="T195:V195" si="387">IF( AND( ISNUMBER(T$128), T$128 &lt;&gt; 0), ( T$128 - T188 ) / T$128, "")</f>
        <v>0.60354494849998519</v>
      </c>
      <c r="U195" s="111">
        <f t="shared" si="387"/>
        <v>1.8219065534476376E-16</v>
      </c>
      <c r="V195" s="111">
        <f t="shared" si="387"/>
        <v>0</v>
      </c>
      <c r="W195" s="111">
        <f t="shared" ref="W195:X195" si="388">IF( AND( ISNUMBER(W$128), W$128 &lt;&gt; 0), ( W$128 - W188 ) / W$128, "")</f>
        <v>0</v>
      </c>
      <c r="X195" s="111" t="str">
        <f t="shared" si="388"/>
        <v/>
      </c>
      <c r="Y195" s="111">
        <f t="shared" ref="Y195:Z195" si="389">IF( AND( ISNUMBER(Y$128), Y$128 &lt;&gt; 0), ( Y$128 - Y188 ) / Y$128, "")</f>
        <v>0</v>
      </c>
      <c r="Z195" s="111" t="str">
        <f t="shared" si="389"/>
        <v/>
      </c>
      <c r="AA195" s="111">
        <f t="shared" ref="AA195:AB195" si="390">IF( AND( ISNUMBER(AA$128), AA$128 &lt;&gt; 0), ( AA$128 - AA188 ) / AA$128, "")</f>
        <v>-1.4909139947694723E-2</v>
      </c>
      <c r="AB195" s="111" t="str">
        <f t="shared" si="390"/>
        <v/>
      </c>
    </row>
    <row r="196" spans="2:30" x14ac:dyDescent="0.25">
      <c r="C196" s="88"/>
      <c r="D196" s="2"/>
      <c r="E196" s="2"/>
      <c r="F196" s="102"/>
      <c r="G196" s="102"/>
    </row>
    <row r="197" spans="2:30" x14ac:dyDescent="0.25">
      <c r="B197" s="30" t="s">
        <v>230</v>
      </c>
      <c r="C197" s="30"/>
      <c r="D197" s="30"/>
      <c r="E197" s="30"/>
      <c r="F197" s="30"/>
      <c r="G197" s="92"/>
      <c r="H197" s="30"/>
      <c r="I197" s="30"/>
      <c r="J197" s="30"/>
      <c r="K197" s="30"/>
      <c r="L197" s="30"/>
      <c r="M197" s="30"/>
      <c r="N197" s="30"/>
      <c r="O197" s="30"/>
      <c r="P197" s="30"/>
      <c r="Q197" s="30"/>
      <c r="R197" s="30"/>
      <c r="S197" s="30"/>
      <c r="T197" s="30"/>
      <c r="U197" s="30"/>
      <c r="V197" s="30"/>
      <c r="W197" s="30"/>
      <c r="X197" s="30"/>
      <c r="Y197" s="30"/>
      <c r="Z197" s="30"/>
      <c r="AA197" s="30"/>
      <c r="AB197" s="30"/>
      <c r="AC197" s="30"/>
      <c r="AD197" s="30"/>
    </row>
    <row r="198" spans="2:30" x14ac:dyDescent="0.25">
      <c r="F198" s="3"/>
      <c r="G198" s="216"/>
      <c r="H198" s="3"/>
      <c r="I198" s="3"/>
    </row>
    <row r="199" spans="2:30" x14ac:dyDescent="0.25">
      <c r="D199" t="s">
        <v>231</v>
      </c>
      <c r="G199" s="6" t="s">
        <v>54</v>
      </c>
      <c r="H199" s="26">
        <f t="array" ref="H199">SUM(IF(ISERROR($H$13:$AC$195), 1))</f>
        <v>0</v>
      </c>
      <c r="I199" s="3"/>
    </row>
    <row r="200" spans="2:30" x14ac:dyDescent="0.25">
      <c r="F200" s="3"/>
      <c r="G200" s="3"/>
      <c r="H200" s="3"/>
      <c r="I200" s="3"/>
    </row>
    <row r="201" spans="2:30" x14ac:dyDescent="0.25">
      <c r="B201" s="30" t="s">
        <v>105</v>
      </c>
      <c r="C201" s="30"/>
      <c r="D201" s="30"/>
      <c r="E201" s="30"/>
      <c r="F201" s="30"/>
      <c r="G201" s="30"/>
      <c r="H201" s="30"/>
      <c r="I201" s="30"/>
      <c r="J201" s="30"/>
      <c r="K201" s="30"/>
      <c r="L201" s="30"/>
      <c r="M201" s="30"/>
      <c r="N201" s="30"/>
      <c r="O201" s="30"/>
      <c r="P201" s="30"/>
      <c r="Q201" s="30"/>
      <c r="R201" s="30"/>
      <c r="S201" s="30"/>
      <c r="T201" s="30"/>
      <c r="U201" s="30"/>
      <c r="V201" s="30"/>
      <c r="W201" s="30"/>
      <c r="X201" s="30"/>
      <c r="Y201" s="30"/>
      <c r="Z201" s="30"/>
      <c r="AA201" s="30"/>
      <c r="AB201" s="30"/>
      <c r="AC201" s="30"/>
      <c r="AD201" s="30"/>
    </row>
  </sheetData>
  <sheetProtection sheet="1" objects="1" formatCells="0" formatColumns="0" formatRows="0" sort="0" autoFilter="0"/>
  <conditionalFormatting sqref="H199">
    <cfRule type="cellIs" dxfId="13" priority="23" operator="greaterThan">
      <formula>0</formula>
    </cfRule>
  </conditionalFormatting>
  <conditionalFormatting sqref="A4:I4 AC4:XFD4">
    <cfRule type="expression" dxfId="12" priority="9">
      <formula>LEFT($A$4,1) &lt;&gt; "0"</formula>
    </cfRule>
  </conditionalFormatting>
  <conditionalFormatting sqref="N4:S4">
    <cfRule type="expression" dxfId="11" priority="8">
      <formula>LEFT($A$4,1) &lt;&gt; "0"</formula>
    </cfRule>
  </conditionalFormatting>
  <conditionalFormatting sqref="L4:M4">
    <cfRule type="expression" dxfId="10" priority="7">
      <formula>LEFT($A$4,1) &lt;&gt; "0"</formula>
    </cfRule>
  </conditionalFormatting>
  <conditionalFormatting sqref="J4:K4">
    <cfRule type="expression" dxfId="9" priority="6">
      <formula>LEFT($A$4,1) &lt;&gt; "0"</formula>
    </cfRule>
  </conditionalFormatting>
  <conditionalFormatting sqref="T4">
    <cfRule type="expression" dxfId="8" priority="5">
      <formula>LEFT($A$4,1) &lt;&gt; "0"</formula>
    </cfRule>
  </conditionalFormatting>
  <conditionalFormatting sqref="U4:V4">
    <cfRule type="expression" dxfId="7" priority="4">
      <formula>LEFT($A$4,1) &lt;&gt; "0"</formula>
    </cfRule>
  </conditionalFormatting>
  <conditionalFormatting sqref="W4:X4">
    <cfRule type="expression" dxfId="6" priority="3">
      <formula>LEFT($A$4,1) &lt;&gt; "0"</formula>
    </cfRule>
  </conditionalFormatting>
  <conditionalFormatting sqref="Y4:Z4">
    <cfRule type="expression" dxfId="5" priority="2">
      <formula>LEFT($A$4,1) &lt;&gt; "0"</formula>
    </cfRule>
  </conditionalFormatting>
  <conditionalFormatting sqref="AA4:AB4">
    <cfRule type="expression" dxfId="4" priority="1">
      <formula>LEFT($A$4,1) &lt;&gt; "0"</formula>
    </cfRule>
  </conditionalFormatting>
  <dataValidations count="2">
    <dataValidation type="decimal" operator="greaterThanOrEqual" allowBlank="1" showInputMessage="1" showErrorMessage="1" errorTitle="Invalid volume data" error="Invalid volume data (negative number or unused cell)." sqref="J16:AB40 J157:AB157 J150:AB150 J45:AB69" xr:uid="{00000000-0002-0000-1A00-000000000000}">
      <formula1>0</formula1>
    </dataValidation>
    <dataValidation allowBlank="1" sqref="J143:AB149 J158:AB158 J156:AB156" xr:uid="{00000000-0002-0000-1A00-000001000000}"/>
  </dataValidations>
  <hyperlinks>
    <hyperlink ref="B5:F5" location="'Model map'!A1" display="Click here to return to model map" xr:uid="{00000000-0004-0000-1A00-000000000000}"/>
  </hyperlink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7">
    <tabColor theme="9" tint="0.39997558519241921"/>
    <pageSetUpPr fitToPage="1"/>
  </sheetPr>
  <dimension ref="A1:JY84"/>
  <sheetViews>
    <sheetView showGridLines="0" zoomScale="80" zoomScaleNormal="80" workbookViewId="0">
      <pane xSplit="9" ySplit="5" topLeftCell="J6" activePane="bottomRight" state="frozen"/>
      <selection pane="topRight"/>
      <selection pane="bottomLeft"/>
      <selection pane="bottomRight" activeCell="J6" sqref="J6"/>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16" width="17" customWidth="1"/>
    <col min="17" max="17" width="2.42578125" customWidth="1"/>
    <col min="18" max="18" width="50.5703125" customWidth="1"/>
    <col min="19" max="19" width="2.42578125" customWidth="1"/>
    <col min="20" max="27" width="0" hidden="1" customWidth="1"/>
    <col min="28" max="28" width="24.5703125" hidden="1" customWidth="1"/>
    <col min="29" max="29" width="3.5703125" hidden="1" customWidth="1"/>
    <col min="30" max="30" width="15.42578125" hidden="1" customWidth="1"/>
    <col min="31" max="285" width="24.5703125" hidden="1" customWidth="1"/>
    <col min="286" max="16384" width="8.5703125" hidden="1"/>
  </cols>
  <sheetData>
    <row r="1" spans="1:44" s="1" customFormat="1" x14ac:dyDescent="0.25">
      <c r="A1" s="1" t="str">
        <f ca="1">MID(CELL("filename",A1),FIND("]",CELL("filename",A1))+1,255)</f>
        <v>Tariff summary</v>
      </c>
    </row>
    <row r="2" spans="1:44" s="1" customFormat="1" x14ac:dyDescent="0.25">
      <c r="A2" s="1" t="str">
        <f>Cover!D21&amp;" - "&amp;Cover!D23</f>
        <v>SP Distribution - Two</v>
      </c>
    </row>
    <row r="3" spans="1:44" s="5" customFormat="1" x14ac:dyDescent="0.25">
      <c r="A3" s="5" t="str">
        <f>Cover!D2&amp;" - "&amp;Cover!D8&amp;" v"&amp;Cover!D10&amp;" - "&amp;Cover!D19</f>
        <v>CDCM charging model - Release for charge setting v6 - 2021/22</v>
      </c>
    </row>
    <row r="4" spans="1:44" x14ac:dyDescent="0.25">
      <c r="A4" s="12" t="str">
        <f>H80 &amp; IF(H80 = 1, " issue", " issues") &amp;" identified in checks on this sheet"</f>
        <v>0 issues identified in checks on this sheet</v>
      </c>
      <c r="B4" s="13"/>
      <c r="C4" s="13"/>
      <c r="D4" s="13"/>
      <c r="E4" s="13"/>
      <c r="F4" s="13"/>
      <c r="G4" s="13"/>
      <c r="H4" s="14"/>
      <c r="I4" s="14"/>
      <c r="J4" s="13"/>
    </row>
    <row r="5" spans="1:44" ht="45" x14ac:dyDescent="0.25">
      <c r="B5" s="59" t="s">
        <v>141</v>
      </c>
      <c r="C5" s="60"/>
      <c r="D5" s="60"/>
      <c r="E5" s="60"/>
      <c r="F5" s="60"/>
      <c r="G5" s="61"/>
      <c r="H5" s="61" t="s">
        <v>860</v>
      </c>
      <c r="J5" s="62" t="s">
        <v>861</v>
      </c>
      <c r="K5" s="62" t="s">
        <v>862</v>
      </c>
      <c r="L5" s="62" t="s">
        <v>863</v>
      </c>
      <c r="M5" s="62" t="s">
        <v>864</v>
      </c>
      <c r="N5" s="62" t="s">
        <v>865</v>
      </c>
      <c r="O5" s="62" t="s">
        <v>866</v>
      </c>
      <c r="P5" s="62" t="s">
        <v>867</v>
      </c>
      <c r="R5" s="61" t="s">
        <v>144</v>
      </c>
    </row>
    <row r="7" spans="1:44" x14ac:dyDescent="0.25">
      <c r="B7" s="30" t="s">
        <v>9</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row>
    <row r="9" spans="1:44" x14ac:dyDescent="0.25">
      <c r="C9" s="29" t="s">
        <v>868</v>
      </c>
    </row>
    <row r="11" spans="1:44" x14ac:dyDescent="0.25">
      <c r="B11" s="30" t="s">
        <v>95</v>
      </c>
      <c r="C11" s="30"/>
      <c r="D11" s="30"/>
      <c r="E11" s="30"/>
      <c r="F11" s="30"/>
      <c r="G11" s="30"/>
      <c r="H11" s="30"/>
      <c r="I11" s="30"/>
      <c r="J11" s="30"/>
      <c r="K11" s="30"/>
      <c r="L11" s="105"/>
      <c r="M11" s="105"/>
      <c r="N11" s="105"/>
      <c r="O11" s="105"/>
      <c r="P11" s="105"/>
      <c r="Q11" s="105"/>
      <c r="R11" s="105"/>
    </row>
    <row r="12" spans="1:44" x14ac:dyDescent="0.25">
      <c r="D12"/>
      <c r="E12"/>
    </row>
    <row r="13" spans="1:44" x14ac:dyDescent="0.25">
      <c r="C13" s="31" t="str">
        <f>"Output 101-A: Tariffs for "&amp; charging_year</f>
        <v>Output 101-A: Tariffs for 2021/22</v>
      </c>
      <c r="D13" s="31"/>
      <c r="E13" s="31"/>
      <c r="F13" s="31"/>
      <c r="G13" s="31"/>
      <c r="H13" s="31"/>
      <c r="I13" s="31"/>
      <c r="J13" s="31"/>
      <c r="K13" s="31"/>
      <c r="L13" s="31"/>
      <c r="M13" s="31"/>
      <c r="N13" s="31"/>
      <c r="O13" s="31"/>
      <c r="P13" s="31"/>
      <c r="Q13" s="31"/>
      <c r="R13" s="31"/>
    </row>
    <row r="14" spans="1:44" x14ac:dyDescent="0.25">
      <c r="D14"/>
      <c r="E14"/>
    </row>
    <row r="15" spans="1:44" x14ac:dyDescent="0.25">
      <c r="D15" s="32"/>
      <c r="E15" s="32" t="s">
        <v>869</v>
      </c>
    </row>
    <row r="16" spans="1:44" x14ac:dyDescent="0.25">
      <c r="F16" s="23" t="s">
        <v>893</v>
      </c>
      <c r="G16" s="23"/>
      <c r="H16" s="23" t="s">
        <v>837</v>
      </c>
      <c r="I16" s="23"/>
      <c r="J16" s="224">
        <f t="array" ref="J16:P34">TRANSPOSE(Rounding!J130:AB136)</f>
        <v>10.154999999999999</v>
      </c>
      <c r="K16" s="224">
        <v>2.0299999999999998</v>
      </c>
      <c r="L16" s="224">
        <v>1.17</v>
      </c>
      <c r="M16" s="225">
        <v>4.76</v>
      </c>
      <c r="N16" s="225">
        <v>0</v>
      </c>
      <c r="O16" s="225">
        <v>0</v>
      </c>
      <c r="P16" s="224">
        <v>0</v>
      </c>
    </row>
    <row r="17" spans="6:16" x14ac:dyDescent="0.25">
      <c r="F17" t="s">
        <v>895</v>
      </c>
      <c r="H17" t="s">
        <v>837</v>
      </c>
      <c r="J17" s="226">
        <v>10.154999999999999</v>
      </c>
      <c r="K17" s="226">
        <v>2.0299999999999998</v>
      </c>
      <c r="L17" s="226">
        <v>1.17</v>
      </c>
      <c r="M17" s="227">
        <v>0</v>
      </c>
      <c r="N17" s="227">
        <v>0</v>
      </c>
      <c r="O17" s="227">
        <v>0</v>
      </c>
      <c r="P17" s="226">
        <v>0</v>
      </c>
    </row>
    <row r="18" spans="6:16" x14ac:dyDescent="0.25">
      <c r="F18" t="s">
        <v>894</v>
      </c>
      <c r="H18" t="s">
        <v>837</v>
      </c>
      <c r="J18" s="226">
        <v>11.609</v>
      </c>
      <c r="K18" s="226">
        <v>2.173</v>
      </c>
      <c r="L18" s="226">
        <v>1.1739999999999999</v>
      </c>
      <c r="M18" s="227">
        <v>6.04</v>
      </c>
      <c r="N18" s="227">
        <v>0</v>
      </c>
      <c r="O18" s="227">
        <v>0</v>
      </c>
      <c r="P18" s="226">
        <v>0</v>
      </c>
    </row>
    <row r="19" spans="6:16" x14ac:dyDescent="0.25">
      <c r="F19" t="s">
        <v>896</v>
      </c>
      <c r="H19" t="s">
        <v>837</v>
      </c>
      <c r="J19" s="226">
        <v>11.609</v>
      </c>
      <c r="K19" s="226">
        <v>2.173</v>
      </c>
      <c r="L19" s="226">
        <v>1.1739999999999999</v>
      </c>
      <c r="M19" s="227">
        <v>0</v>
      </c>
      <c r="N19" s="227">
        <v>0</v>
      </c>
      <c r="O19" s="227">
        <v>0</v>
      </c>
      <c r="P19" s="226">
        <v>0</v>
      </c>
    </row>
    <row r="20" spans="6:16" x14ac:dyDescent="0.25">
      <c r="F20" t="s">
        <v>902</v>
      </c>
      <c r="H20" t="s">
        <v>837</v>
      </c>
      <c r="J20" s="226">
        <v>8.1809999999999992</v>
      </c>
      <c r="K20" s="226">
        <v>1.8129999999999999</v>
      </c>
      <c r="L20" s="226">
        <v>1.163</v>
      </c>
      <c r="M20" s="227">
        <v>23.42</v>
      </c>
      <c r="N20" s="227">
        <v>2.5</v>
      </c>
      <c r="O20" s="227">
        <v>3.69</v>
      </c>
      <c r="P20" s="226">
        <v>0.23499999999999999</v>
      </c>
    </row>
    <row r="21" spans="6:16" x14ac:dyDescent="0.25">
      <c r="F21" t="s">
        <v>903</v>
      </c>
      <c r="H21" t="s">
        <v>837</v>
      </c>
      <c r="J21" s="226">
        <v>5.3090000000000002</v>
      </c>
      <c r="K21" s="226">
        <v>1.5009999999999999</v>
      </c>
      <c r="L21" s="226">
        <v>1.1539999999999999</v>
      </c>
      <c r="M21" s="227">
        <v>8.39</v>
      </c>
      <c r="N21" s="227">
        <v>4.51</v>
      </c>
      <c r="O21" s="227">
        <v>5.14</v>
      </c>
      <c r="P21" s="226">
        <v>0.13700000000000001</v>
      </c>
    </row>
    <row r="22" spans="6:16" x14ac:dyDescent="0.25">
      <c r="F22" t="s">
        <v>904</v>
      </c>
      <c r="H22" t="s">
        <v>837</v>
      </c>
      <c r="J22" s="226">
        <v>4.3010000000000002</v>
      </c>
      <c r="K22" s="226">
        <v>1.4</v>
      </c>
      <c r="L22" s="226">
        <v>1.151</v>
      </c>
      <c r="M22" s="227">
        <v>124.35</v>
      </c>
      <c r="N22" s="227">
        <v>4.96</v>
      </c>
      <c r="O22" s="227">
        <v>6.12</v>
      </c>
      <c r="P22" s="226">
        <v>0.10199999999999999</v>
      </c>
    </row>
    <row r="23" spans="6:16" x14ac:dyDescent="0.25">
      <c r="F23" t="s">
        <v>1027</v>
      </c>
      <c r="H23" t="s">
        <v>837</v>
      </c>
      <c r="J23" s="226">
        <v>7.0339999999999998</v>
      </c>
      <c r="K23" s="226">
        <v>0.66600000000000004</v>
      </c>
      <c r="L23" s="226">
        <v>1.6E-2</v>
      </c>
      <c r="M23" s="227">
        <v>23.42</v>
      </c>
      <c r="N23" s="227">
        <v>2.5</v>
      </c>
      <c r="O23" s="227">
        <v>3.69</v>
      </c>
      <c r="P23" s="226">
        <v>0.23499999999999999</v>
      </c>
    </row>
    <row r="24" spans="6:16" x14ac:dyDescent="0.25">
      <c r="F24" t="s">
        <v>1028</v>
      </c>
      <c r="H24" t="s">
        <v>837</v>
      </c>
      <c r="J24" s="226">
        <v>4.1619999999999999</v>
      </c>
      <c r="K24" s="226">
        <v>0.35399999999999998</v>
      </c>
      <c r="L24" s="226">
        <v>7.0000000000000001E-3</v>
      </c>
      <c r="M24" s="227">
        <v>8.39</v>
      </c>
      <c r="N24" s="227">
        <v>4.51</v>
      </c>
      <c r="O24" s="227">
        <v>5.14</v>
      </c>
      <c r="P24" s="226">
        <v>0.13700000000000001</v>
      </c>
    </row>
    <row r="25" spans="6:16" x14ac:dyDescent="0.25">
      <c r="F25" t="s">
        <v>1029</v>
      </c>
      <c r="H25" t="s">
        <v>837</v>
      </c>
      <c r="J25" s="226">
        <v>3.153</v>
      </c>
      <c r="K25" s="226">
        <v>0.253</v>
      </c>
      <c r="L25" s="226">
        <v>4.0000000000000001E-3</v>
      </c>
      <c r="M25" s="227">
        <v>124.35</v>
      </c>
      <c r="N25" s="227">
        <v>4.96</v>
      </c>
      <c r="O25" s="227">
        <v>6.12</v>
      </c>
      <c r="P25" s="226">
        <v>0.10199999999999999</v>
      </c>
    </row>
    <row r="26" spans="6:16" x14ac:dyDescent="0.25">
      <c r="F26" t="s">
        <v>905</v>
      </c>
      <c r="H26" t="s">
        <v>837</v>
      </c>
      <c r="J26" s="226">
        <v>22.728000000000002</v>
      </c>
      <c r="K26" s="226">
        <v>2.3420000000000001</v>
      </c>
      <c r="L26" s="226">
        <v>1.5960000000000001</v>
      </c>
      <c r="M26" s="227">
        <v>0</v>
      </c>
      <c r="N26" s="227">
        <v>0</v>
      </c>
      <c r="O26" s="227">
        <v>0</v>
      </c>
      <c r="P26" s="226">
        <v>0</v>
      </c>
    </row>
    <row r="27" spans="6:16" x14ac:dyDescent="0.25">
      <c r="F27" t="s">
        <v>897</v>
      </c>
      <c r="H27" t="s">
        <v>837</v>
      </c>
      <c r="J27" s="226">
        <v>-6.4409999999999998</v>
      </c>
      <c r="K27" s="226">
        <v>-0.63100000000000001</v>
      </c>
      <c r="L27" s="226">
        <v>-1.6E-2</v>
      </c>
      <c r="M27" s="227">
        <v>0</v>
      </c>
      <c r="N27" s="227">
        <v>0</v>
      </c>
      <c r="O27" s="227">
        <v>0</v>
      </c>
      <c r="P27" s="226">
        <v>0</v>
      </c>
    </row>
    <row r="28" spans="6:16" x14ac:dyDescent="0.25">
      <c r="F28" t="s">
        <v>898</v>
      </c>
      <c r="H28" t="s">
        <v>837</v>
      </c>
      <c r="J28" s="226">
        <v>-5.6890000000000001</v>
      </c>
      <c r="K28" s="226">
        <v>-0.54800000000000004</v>
      </c>
      <c r="L28" s="226">
        <v>-1.4E-2</v>
      </c>
      <c r="M28" s="227">
        <v>0</v>
      </c>
      <c r="N28" s="227">
        <v>0</v>
      </c>
      <c r="O28" s="227">
        <v>0</v>
      </c>
      <c r="P28" s="226">
        <v>0</v>
      </c>
    </row>
    <row r="29" spans="6:16" x14ac:dyDescent="0.25">
      <c r="F29" t="s">
        <v>899</v>
      </c>
      <c r="H29" t="s">
        <v>837</v>
      </c>
      <c r="J29" s="226">
        <v>-6.4409999999999998</v>
      </c>
      <c r="K29" s="226">
        <v>-0.63100000000000001</v>
      </c>
      <c r="L29" s="226">
        <v>-1.6E-2</v>
      </c>
      <c r="M29" s="227">
        <v>0</v>
      </c>
      <c r="N29" s="227">
        <v>0</v>
      </c>
      <c r="O29" s="227">
        <v>0</v>
      </c>
      <c r="P29" s="226">
        <v>0.20300000000000001</v>
      </c>
    </row>
    <row r="30" spans="6:16" x14ac:dyDescent="0.25">
      <c r="F30" t="s">
        <v>908</v>
      </c>
      <c r="H30" t="s">
        <v>837</v>
      </c>
      <c r="J30" s="226">
        <v>-6.4409999999999998</v>
      </c>
      <c r="K30" s="226">
        <v>-0.63100000000000001</v>
      </c>
      <c r="L30" s="226">
        <v>-1.6E-2</v>
      </c>
      <c r="M30" s="227">
        <v>0</v>
      </c>
      <c r="N30" s="227">
        <v>0</v>
      </c>
      <c r="O30" s="227">
        <v>0</v>
      </c>
      <c r="P30" s="226">
        <v>0</v>
      </c>
    </row>
    <row r="31" spans="6:16" x14ac:dyDescent="0.25">
      <c r="F31" t="s">
        <v>900</v>
      </c>
      <c r="H31" t="s">
        <v>837</v>
      </c>
      <c r="J31" s="226">
        <v>-5.6890000000000001</v>
      </c>
      <c r="K31" s="226">
        <v>-0.54800000000000004</v>
      </c>
      <c r="L31" s="226">
        <v>-1.4E-2</v>
      </c>
      <c r="M31" s="227">
        <v>0</v>
      </c>
      <c r="N31" s="227">
        <v>0</v>
      </c>
      <c r="O31" s="227">
        <v>0</v>
      </c>
      <c r="P31" s="226">
        <v>0.182</v>
      </c>
    </row>
    <row r="32" spans="6:16" x14ac:dyDescent="0.25">
      <c r="F32" t="s">
        <v>907</v>
      </c>
      <c r="H32" t="s">
        <v>837</v>
      </c>
      <c r="J32" s="226">
        <v>-5.6890000000000001</v>
      </c>
      <c r="K32" s="226">
        <v>-0.54800000000000004</v>
      </c>
      <c r="L32" s="226">
        <v>-1.4E-2</v>
      </c>
      <c r="M32" s="227">
        <v>0</v>
      </c>
      <c r="N32" s="227">
        <v>0</v>
      </c>
      <c r="O32" s="227">
        <v>0</v>
      </c>
      <c r="P32" s="226">
        <v>0</v>
      </c>
    </row>
    <row r="33" spans="4:16" x14ac:dyDescent="0.25">
      <c r="F33" t="s">
        <v>901</v>
      </c>
      <c r="H33" t="s">
        <v>837</v>
      </c>
      <c r="J33" s="226">
        <v>-3.7330000000000001</v>
      </c>
      <c r="K33" s="226">
        <v>-0.316</v>
      </c>
      <c r="L33" s="226">
        <v>-6.0000000000000001E-3</v>
      </c>
      <c r="M33" s="227">
        <v>90.67</v>
      </c>
      <c r="N33" s="227">
        <v>0</v>
      </c>
      <c r="O33" s="227">
        <v>0</v>
      </c>
      <c r="P33" s="226">
        <v>0.156</v>
      </c>
    </row>
    <row r="34" spans="4:16" x14ac:dyDescent="0.25">
      <c r="F34" s="37" t="s">
        <v>906</v>
      </c>
      <c r="G34" s="37"/>
      <c r="H34" s="37" t="s">
        <v>837</v>
      </c>
      <c r="I34" s="37"/>
      <c r="J34" s="228">
        <v>-3.7330000000000001</v>
      </c>
      <c r="K34" s="228">
        <v>-0.316</v>
      </c>
      <c r="L34" s="228">
        <v>-6.0000000000000001E-3</v>
      </c>
      <c r="M34" s="229">
        <v>90.67</v>
      </c>
      <c r="N34" s="229">
        <v>0</v>
      </c>
      <c r="O34" s="229">
        <v>0</v>
      </c>
      <c r="P34" s="228">
        <v>0</v>
      </c>
    </row>
    <row r="35" spans="4:16" x14ac:dyDescent="0.25">
      <c r="F35" s="2"/>
      <c r="J35" s="14"/>
      <c r="K35" s="14"/>
      <c r="L35" s="14"/>
      <c r="M35" s="230"/>
      <c r="N35" s="230"/>
      <c r="O35" s="230"/>
      <c r="P35" s="14"/>
    </row>
    <row r="36" spans="4:16" x14ac:dyDescent="0.25">
      <c r="D36" s="32"/>
      <c r="E36" s="32" t="s">
        <v>870</v>
      </c>
      <c r="F36" s="2"/>
      <c r="J36" s="14"/>
      <c r="K36" s="14"/>
      <c r="L36" s="14"/>
      <c r="M36" s="230"/>
      <c r="N36" s="230"/>
      <c r="O36" s="230"/>
      <c r="P36" s="14"/>
    </row>
    <row r="37" spans="4:16" x14ac:dyDescent="0.25">
      <c r="F37" s="23" t="s">
        <v>893</v>
      </c>
      <c r="G37" s="23"/>
      <c r="H37" s="23" t="s">
        <v>447</v>
      </c>
      <c r="I37" s="23"/>
      <c r="J37" s="224">
        <f t="array" ref="J37:P55">TRANSPOSE(Rounding!J139:AB145)</f>
        <v>6.1879999999999997</v>
      </c>
      <c r="K37" s="224">
        <v>1.2370000000000001</v>
      </c>
      <c r="L37" s="224">
        <v>0.71299999999999997</v>
      </c>
      <c r="M37" s="225">
        <v>2.98</v>
      </c>
      <c r="N37" s="225">
        <v>0</v>
      </c>
      <c r="O37" s="225">
        <v>0</v>
      </c>
      <c r="P37" s="224">
        <v>0</v>
      </c>
    </row>
    <row r="38" spans="4:16" x14ac:dyDescent="0.25">
      <c r="F38" t="s">
        <v>895</v>
      </c>
      <c r="H38" t="s">
        <v>447</v>
      </c>
      <c r="J38" s="226">
        <v>6.1879999999999997</v>
      </c>
      <c r="K38" s="226">
        <v>1.2370000000000001</v>
      </c>
      <c r="L38" s="226">
        <v>0.71299999999999997</v>
      </c>
      <c r="M38" s="227">
        <v>0</v>
      </c>
      <c r="N38" s="227">
        <v>0</v>
      </c>
      <c r="O38" s="227">
        <v>0</v>
      </c>
      <c r="P38" s="226">
        <v>0</v>
      </c>
    </row>
    <row r="39" spans="4:16" x14ac:dyDescent="0.25">
      <c r="F39" t="s">
        <v>894</v>
      </c>
      <c r="H39" t="s">
        <v>447</v>
      </c>
      <c r="J39" s="226">
        <v>7.0739999999999998</v>
      </c>
      <c r="K39" s="226">
        <v>1.3240000000000001</v>
      </c>
      <c r="L39" s="226">
        <v>0.71499999999999997</v>
      </c>
      <c r="M39" s="227">
        <v>3.75</v>
      </c>
      <c r="N39" s="227">
        <v>0</v>
      </c>
      <c r="O39" s="227">
        <v>0</v>
      </c>
      <c r="P39" s="226">
        <v>0</v>
      </c>
    </row>
    <row r="40" spans="4:16" x14ac:dyDescent="0.25">
      <c r="F40" t="s">
        <v>896</v>
      </c>
      <c r="H40" t="s">
        <v>447</v>
      </c>
      <c r="J40" s="226">
        <v>7.0739999999999998</v>
      </c>
      <c r="K40" s="226">
        <v>1.3240000000000001</v>
      </c>
      <c r="L40" s="226">
        <v>0.71499999999999997</v>
      </c>
      <c r="M40" s="227">
        <v>0</v>
      </c>
      <c r="N40" s="227">
        <v>0</v>
      </c>
      <c r="O40" s="227">
        <v>0</v>
      </c>
      <c r="P40" s="226">
        <v>0</v>
      </c>
    </row>
    <row r="41" spans="4:16" x14ac:dyDescent="0.25">
      <c r="F41" t="s">
        <v>902</v>
      </c>
      <c r="H41" t="s">
        <v>447</v>
      </c>
      <c r="J41" s="226">
        <v>4.9850000000000003</v>
      </c>
      <c r="K41" s="226">
        <v>1.105</v>
      </c>
      <c r="L41" s="226">
        <v>0.70899999999999996</v>
      </c>
      <c r="M41" s="227">
        <v>14.34</v>
      </c>
      <c r="N41" s="227">
        <v>1.52</v>
      </c>
      <c r="O41" s="227">
        <v>2.25</v>
      </c>
      <c r="P41" s="226">
        <v>0.14299999999999999</v>
      </c>
    </row>
    <row r="42" spans="4:16" x14ac:dyDescent="0.25">
      <c r="F42" t="s">
        <v>903</v>
      </c>
      <c r="H42" t="s">
        <v>447</v>
      </c>
      <c r="J42" s="231">
        <v>0</v>
      </c>
      <c r="K42" s="231">
        <v>0</v>
      </c>
      <c r="L42" s="231">
        <v>0</v>
      </c>
      <c r="M42" s="231">
        <v>0</v>
      </c>
      <c r="N42" s="231">
        <v>0</v>
      </c>
      <c r="O42" s="231">
        <v>0</v>
      </c>
      <c r="P42" s="231">
        <v>0</v>
      </c>
    </row>
    <row r="43" spans="4:16" x14ac:dyDescent="0.25">
      <c r="F43" t="s">
        <v>904</v>
      </c>
      <c r="H43" t="s">
        <v>447</v>
      </c>
      <c r="J43" s="231">
        <v>0</v>
      </c>
      <c r="K43" s="231">
        <v>0</v>
      </c>
      <c r="L43" s="231">
        <v>0</v>
      </c>
      <c r="M43" s="231">
        <v>0</v>
      </c>
      <c r="N43" s="231">
        <v>0</v>
      </c>
      <c r="O43" s="231">
        <v>0</v>
      </c>
      <c r="P43" s="231">
        <v>0</v>
      </c>
    </row>
    <row r="44" spans="4:16" x14ac:dyDescent="0.25">
      <c r="F44" t="s">
        <v>1027</v>
      </c>
      <c r="H44" t="s">
        <v>447</v>
      </c>
      <c r="J44" s="226">
        <v>4.2859999999999996</v>
      </c>
      <c r="K44" s="226">
        <v>0.40600000000000003</v>
      </c>
      <c r="L44" s="226">
        <v>0.01</v>
      </c>
      <c r="M44" s="227">
        <v>14.34</v>
      </c>
      <c r="N44" s="227">
        <v>1.52</v>
      </c>
      <c r="O44" s="227">
        <v>2.25</v>
      </c>
      <c r="P44" s="226">
        <v>0.14299999999999999</v>
      </c>
    </row>
    <row r="45" spans="4:16" x14ac:dyDescent="0.25">
      <c r="F45" t="s">
        <v>1028</v>
      </c>
      <c r="H45" t="s">
        <v>447</v>
      </c>
      <c r="J45" s="231">
        <v>0</v>
      </c>
      <c r="K45" s="231">
        <v>0</v>
      </c>
      <c r="L45" s="231">
        <v>0</v>
      </c>
      <c r="M45" s="231">
        <v>0</v>
      </c>
      <c r="N45" s="231">
        <v>0</v>
      </c>
      <c r="O45" s="231">
        <v>0</v>
      </c>
      <c r="P45" s="231">
        <v>0</v>
      </c>
    </row>
    <row r="46" spans="4:16" x14ac:dyDescent="0.25">
      <c r="F46" t="s">
        <v>1029</v>
      </c>
      <c r="H46" t="s">
        <v>447</v>
      </c>
      <c r="J46" s="231">
        <v>0</v>
      </c>
      <c r="K46" s="231">
        <v>0</v>
      </c>
      <c r="L46" s="231">
        <v>0</v>
      </c>
      <c r="M46" s="231">
        <v>0</v>
      </c>
      <c r="N46" s="231">
        <v>0</v>
      </c>
      <c r="O46" s="231">
        <v>0</v>
      </c>
      <c r="P46" s="231">
        <v>0</v>
      </c>
    </row>
    <row r="47" spans="4:16" x14ac:dyDescent="0.25">
      <c r="F47" t="s">
        <v>905</v>
      </c>
      <c r="H47" t="s">
        <v>447</v>
      </c>
      <c r="J47" s="226">
        <v>13.849</v>
      </c>
      <c r="K47" s="226">
        <v>1.427</v>
      </c>
      <c r="L47" s="226">
        <v>0.97299999999999998</v>
      </c>
      <c r="M47" s="227">
        <v>0</v>
      </c>
      <c r="N47" s="227">
        <v>0</v>
      </c>
      <c r="O47" s="227">
        <v>0</v>
      </c>
      <c r="P47" s="226">
        <v>0</v>
      </c>
    </row>
    <row r="48" spans="4:16" x14ac:dyDescent="0.25">
      <c r="F48" t="s">
        <v>897</v>
      </c>
      <c r="H48" t="s">
        <v>447</v>
      </c>
      <c r="J48" s="226">
        <v>-6.4409999999999998</v>
      </c>
      <c r="K48" s="226">
        <v>-0.63100000000000001</v>
      </c>
      <c r="L48" s="226">
        <v>-1.6E-2</v>
      </c>
      <c r="M48" s="227">
        <v>0</v>
      </c>
      <c r="N48" s="227">
        <v>0</v>
      </c>
      <c r="O48" s="227">
        <v>0</v>
      </c>
      <c r="P48" s="226">
        <v>0</v>
      </c>
    </row>
    <row r="49" spans="4:16" x14ac:dyDescent="0.25">
      <c r="F49" t="s">
        <v>898</v>
      </c>
      <c r="H49" t="s">
        <v>447</v>
      </c>
      <c r="J49" s="231">
        <v>0</v>
      </c>
      <c r="K49" s="231">
        <v>0</v>
      </c>
      <c r="L49" s="231">
        <v>0</v>
      </c>
      <c r="M49" s="231">
        <v>0</v>
      </c>
      <c r="N49" s="231">
        <v>0</v>
      </c>
      <c r="O49" s="231">
        <v>0</v>
      </c>
      <c r="P49" s="231">
        <v>0</v>
      </c>
    </row>
    <row r="50" spans="4:16" x14ac:dyDescent="0.25">
      <c r="F50" t="s">
        <v>899</v>
      </c>
      <c r="H50" t="s">
        <v>447</v>
      </c>
      <c r="J50" s="226">
        <v>-6.4409999999999998</v>
      </c>
      <c r="K50" s="226">
        <v>-0.63100000000000001</v>
      </c>
      <c r="L50" s="226">
        <v>-1.6E-2</v>
      </c>
      <c r="M50" s="227">
        <v>0</v>
      </c>
      <c r="N50" s="227">
        <v>0</v>
      </c>
      <c r="O50" s="227">
        <v>0</v>
      </c>
      <c r="P50" s="226">
        <v>0.20300000000000001</v>
      </c>
    </row>
    <row r="51" spans="4:16" x14ac:dyDescent="0.25">
      <c r="F51" t="s">
        <v>908</v>
      </c>
      <c r="H51" t="s">
        <v>447</v>
      </c>
      <c r="J51" s="231">
        <v>0</v>
      </c>
      <c r="K51" s="231">
        <v>0</v>
      </c>
      <c r="L51" s="231">
        <v>0</v>
      </c>
      <c r="M51" s="231">
        <v>0</v>
      </c>
      <c r="N51" s="231">
        <v>0</v>
      </c>
      <c r="O51" s="231">
        <v>0</v>
      </c>
      <c r="P51" s="231">
        <v>0</v>
      </c>
    </row>
    <row r="52" spans="4:16" x14ac:dyDescent="0.25">
      <c r="F52" t="s">
        <v>900</v>
      </c>
      <c r="H52" t="s">
        <v>447</v>
      </c>
      <c r="J52" s="231">
        <v>0</v>
      </c>
      <c r="K52" s="231">
        <v>0</v>
      </c>
      <c r="L52" s="231">
        <v>0</v>
      </c>
      <c r="M52" s="231">
        <v>0</v>
      </c>
      <c r="N52" s="231">
        <v>0</v>
      </c>
      <c r="O52" s="231">
        <v>0</v>
      </c>
      <c r="P52" s="231">
        <v>0</v>
      </c>
    </row>
    <row r="53" spans="4:16" x14ac:dyDescent="0.25">
      <c r="F53" t="s">
        <v>907</v>
      </c>
      <c r="H53" t="s">
        <v>447</v>
      </c>
      <c r="J53" s="231">
        <v>0</v>
      </c>
      <c r="K53" s="231">
        <v>0</v>
      </c>
      <c r="L53" s="231">
        <v>0</v>
      </c>
      <c r="M53" s="231">
        <v>0</v>
      </c>
      <c r="N53" s="231">
        <v>0</v>
      </c>
      <c r="O53" s="231">
        <v>0</v>
      </c>
      <c r="P53" s="231">
        <v>0</v>
      </c>
    </row>
    <row r="54" spans="4:16" x14ac:dyDescent="0.25">
      <c r="F54" t="s">
        <v>901</v>
      </c>
      <c r="H54" t="s">
        <v>447</v>
      </c>
      <c r="J54" s="231">
        <v>0</v>
      </c>
      <c r="K54" s="231">
        <v>0</v>
      </c>
      <c r="L54" s="231">
        <v>0</v>
      </c>
      <c r="M54" s="231">
        <v>0</v>
      </c>
      <c r="N54" s="231">
        <v>0</v>
      </c>
      <c r="O54" s="231">
        <v>0</v>
      </c>
      <c r="P54" s="231">
        <v>0</v>
      </c>
    </row>
    <row r="55" spans="4:16" x14ac:dyDescent="0.25">
      <c r="F55" s="37" t="s">
        <v>906</v>
      </c>
      <c r="G55" s="37"/>
      <c r="H55" s="37" t="s">
        <v>447</v>
      </c>
      <c r="I55" s="37"/>
      <c r="J55" s="232">
        <v>0</v>
      </c>
      <c r="K55" s="232">
        <v>0</v>
      </c>
      <c r="L55" s="232">
        <v>0</v>
      </c>
      <c r="M55" s="232">
        <v>0</v>
      </c>
      <c r="N55" s="232">
        <v>0</v>
      </c>
      <c r="O55" s="232">
        <v>0</v>
      </c>
      <c r="P55" s="232">
        <v>0</v>
      </c>
    </row>
    <row r="56" spans="4:16" x14ac:dyDescent="0.25">
      <c r="D56"/>
      <c r="E56"/>
      <c r="M56" s="233"/>
      <c r="N56" s="233"/>
      <c r="O56" s="233"/>
    </row>
    <row r="57" spans="4:16" x14ac:dyDescent="0.25">
      <c r="D57" s="32"/>
      <c r="E57" s="32" t="s">
        <v>871</v>
      </c>
      <c r="M57" s="233"/>
      <c r="N57" s="233"/>
      <c r="O57" s="233"/>
    </row>
    <row r="58" spans="4:16" x14ac:dyDescent="0.25">
      <c r="F58" s="23" t="s">
        <v>893</v>
      </c>
      <c r="G58" s="23"/>
      <c r="H58" s="23" t="s">
        <v>448</v>
      </c>
      <c r="I58" s="23"/>
      <c r="J58" s="224">
        <f t="array" ref="J58:P76">TRANSPOSE(Rounding!J148:AB154)</f>
        <v>4.0250000000000004</v>
      </c>
      <c r="K58" s="224">
        <v>0.80500000000000005</v>
      </c>
      <c r="L58" s="224">
        <v>0.46400000000000002</v>
      </c>
      <c r="M58" s="225">
        <v>2</v>
      </c>
      <c r="N58" s="225">
        <v>0</v>
      </c>
      <c r="O58" s="225">
        <v>0</v>
      </c>
      <c r="P58" s="224">
        <v>0</v>
      </c>
    </row>
    <row r="59" spans="4:16" x14ac:dyDescent="0.25">
      <c r="F59" t="s">
        <v>895</v>
      </c>
      <c r="H59" t="s">
        <v>448</v>
      </c>
      <c r="J59" s="226">
        <v>4.0250000000000004</v>
      </c>
      <c r="K59" s="226">
        <v>0.80500000000000005</v>
      </c>
      <c r="L59" s="226">
        <v>0.46400000000000002</v>
      </c>
      <c r="M59" s="227">
        <v>0</v>
      </c>
      <c r="N59" s="227">
        <v>0</v>
      </c>
      <c r="O59" s="227">
        <v>0</v>
      </c>
      <c r="P59" s="226">
        <v>0</v>
      </c>
    </row>
    <row r="60" spans="4:16" x14ac:dyDescent="0.25">
      <c r="F60" t="s">
        <v>894</v>
      </c>
      <c r="H60" t="s">
        <v>448</v>
      </c>
      <c r="J60" s="226">
        <v>4.6020000000000003</v>
      </c>
      <c r="K60" s="226">
        <v>0.86099999999999999</v>
      </c>
      <c r="L60" s="226">
        <v>0.46500000000000002</v>
      </c>
      <c r="M60" s="227">
        <v>2.5</v>
      </c>
      <c r="N60" s="227">
        <v>0</v>
      </c>
      <c r="O60" s="227">
        <v>0</v>
      </c>
      <c r="P60" s="226">
        <v>0</v>
      </c>
    </row>
    <row r="61" spans="4:16" x14ac:dyDescent="0.25">
      <c r="F61" t="s">
        <v>896</v>
      </c>
      <c r="H61" t="s">
        <v>448</v>
      </c>
      <c r="J61" s="226">
        <v>4.6020000000000003</v>
      </c>
      <c r="K61" s="226">
        <v>0.86099999999999999</v>
      </c>
      <c r="L61" s="226">
        <v>0.46500000000000002</v>
      </c>
      <c r="M61" s="227">
        <v>0</v>
      </c>
      <c r="N61" s="227">
        <v>0</v>
      </c>
      <c r="O61" s="227">
        <v>0</v>
      </c>
      <c r="P61" s="226">
        <v>0</v>
      </c>
    </row>
    <row r="62" spans="4:16" x14ac:dyDescent="0.25">
      <c r="F62" t="s">
        <v>902</v>
      </c>
      <c r="H62" t="s">
        <v>448</v>
      </c>
      <c r="J62" s="226">
        <v>3.2429999999999999</v>
      </c>
      <c r="K62" s="226">
        <v>0.71899999999999997</v>
      </c>
      <c r="L62" s="226">
        <v>0.46100000000000002</v>
      </c>
      <c r="M62" s="227">
        <v>9.4</v>
      </c>
      <c r="N62" s="227">
        <v>0.99</v>
      </c>
      <c r="O62" s="227">
        <v>1.46</v>
      </c>
      <c r="P62" s="226">
        <v>9.2999999999999999E-2</v>
      </c>
    </row>
    <row r="63" spans="4:16" x14ac:dyDescent="0.25">
      <c r="F63" t="s">
        <v>903</v>
      </c>
      <c r="H63" t="s">
        <v>448</v>
      </c>
      <c r="J63" s="226">
        <v>3.4609999999999999</v>
      </c>
      <c r="K63" s="226">
        <v>0.97799999999999998</v>
      </c>
      <c r="L63" s="226">
        <v>0.752</v>
      </c>
      <c r="M63" s="227">
        <v>5.53</v>
      </c>
      <c r="N63" s="227">
        <v>2.94</v>
      </c>
      <c r="O63" s="227">
        <v>3.35</v>
      </c>
      <c r="P63" s="226">
        <v>8.8999999999999996E-2</v>
      </c>
    </row>
    <row r="64" spans="4:16" x14ac:dyDescent="0.25">
      <c r="F64" t="s">
        <v>904</v>
      </c>
      <c r="H64" t="s">
        <v>448</v>
      </c>
      <c r="J64" s="226">
        <v>3.218</v>
      </c>
      <c r="K64" s="226">
        <v>1.0469999999999999</v>
      </c>
      <c r="L64" s="226">
        <v>0.86099999999999999</v>
      </c>
      <c r="M64" s="227">
        <v>93.09</v>
      </c>
      <c r="N64" s="227">
        <v>3.71</v>
      </c>
      <c r="O64" s="227">
        <v>4.58</v>
      </c>
      <c r="P64" s="226">
        <v>7.5999999999999998E-2</v>
      </c>
    </row>
    <row r="65" spans="2:19" x14ac:dyDescent="0.25">
      <c r="F65" t="s">
        <v>1027</v>
      </c>
      <c r="H65" t="s">
        <v>448</v>
      </c>
      <c r="J65" s="226">
        <v>2.7879999999999998</v>
      </c>
      <c r="K65" s="226">
        <v>0.26400000000000001</v>
      </c>
      <c r="L65" s="226">
        <v>6.0000000000000001E-3</v>
      </c>
      <c r="M65" s="227">
        <v>9.4</v>
      </c>
      <c r="N65" s="227">
        <v>0.99</v>
      </c>
      <c r="O65" s="227">
        <v>1.46</v>
      </c>
      <c r="P65" s="226">
        <v>9.2999999999999999E-2</v>
      </c>
    </row>
    <row r="66" spans="2:19" x14ac:dyDescent="0.25">
      <c r="F66" t="s">
        <v>1028</v>
      </c>
      <c r="H66" t="s">
        <v>448</v>
      </c>
      <c r="J66" s="226">
        <v>2.7130000000000001</v>
      </c>
      <c r="K66" s="226">
        <v>0.23100000000000001</v>
      </c>
      <c r="L66" s="226">
        <v>4.0000000000000001E-3</v>
      </c>
      <c r="M66" s="227">
        <v>5.53</v>
      </c>
      <c r="N66" s="227">
        <v>2.94</v>
      </c>
      <c r="O66" s="227">
        <v>3.35</v>
      </c>
      <c r="P66" s="226">
        <v>8.8999999999999996E-2</v>
      </c>
    </row>
    <row r="67" spans="2:19" x14ac:dyDescent="0.25">
      <c r="F67" t="s">
        <v>1029</v>
      </c>
      <c r="H67" t="s">
        <v>448</v>
      </c>
      <c r="J67" s="226">
        <v>2.36</v>
      </c>
      <c r="K67" s="226">
        <v>0.189</v>
      </c>
      <c r="L67" s="226">
        <v>3.0000000000000001E-3</v>
      </c>
      <c r="M67" s="227">
        <v>93.09</v>
      </c>
      <c r="N67" s="227">
        <v>3.71</v>
      </c>
      <c r="O67" s="227">
        <v>4.58</v>
      </c>
      <c r="P67" s="226">
        <v>7.5999999999999998E-2</v>
      </c>
    </row>
    <row r="68" spans="2:19" x14ac:dyDescent="0.25">
      <c r="F68" t="s">
        <v>905</v>
      </c>
      <c r="H68" t="s">
        <v>448</v>
      </c>
      <c r="J68" s="226">
        <v>9.0090000000000003</v>
      </c>
      <c r="K68" s="226">
        <v>0.92800000000000005</v>
      </c>
      <c r="L68" s="226">
        <v>0.63300000000000001</v>
      </c>
      <c r="M68" s="227">
        <v>0</v>
      </c>
      <c r="N68" s="227">
        <v>0</v>
      </c>
      <c r="O68" s="227">
        <v>0</v>
      </c>
      <c r="P68" s="226">
        <v>0</v>
      </c>
    </row>
    <row r="69" spans="2:19" x14ac:dyDescent="0.25">
      <c r="F69" t="s">
        <v>897</v>
      </c>
      <c r="H69" t="s">
        <v>448</v>
      </c>
      <c r="J69" s="226">
        <v>-6.4409999999999998</v>
      </c>
      <c r="K69" s="226">
        <v>-0.63100000000000001</v>
      </c>
      <c r="L69" s="226">
        <v>-1.6E-2</v>
      </c>
      <c r="M69" s="227">
        <v>0</v>
      </c>
      <c r="N69" s="227">
        <v>0</v>
      </c>
      <c r="O69" s="227">
        <v>0</v>
      </c>
      <c r="P69" s="226">
        <v>0</v>
      </c>
    </row>
    <row r="70" spans="2:19" x14ac:dyDescent="0.25">
      <c r="F70" t="s">
        <v>898</v>
      </c>
      <c r="H70" t="s">
        <v>448</v>
      </c>
      <c r="J70" s="226">
        <v>-5.6890000000000001</v>
      </c>
      <c r="K70" s="226">
        <v>-0.54800000000000004</v>
      </c>
      <c r="L70" s="226">
        <v>-1.4E-2</v>
      </c>
      <c r="M70" s="227">
        <v>0</v>
      </c>
      <c r="N70" s="227">
        <v>0</v>
      </c>
      <c r="O70" s="227">
        <v>0</v>
      </c>
      <c r="P70" s="226">
        <v>0</v>
      </c>
    </row>
    <row r="71" spans="2:19" x14ac:dyDescent="0.25">
      <c r="F71" t="s">
        <v>899</v>
      </c>
      <c r="H71" t="s">
        <v>448</v>
      </c>
      <c r="J71" s="226">
        <v>-6.4409999999999998</v>
      </c>
      <c r="K71" s="226">
        <v>-0.63100000000000001</v>
      </c>
      <c r="L71" s="226">
        <v>-1.6E-2</v>
      </c>
      <c r="M71" s="227">
        <v>0</v>
      </c>
      <c r="N71" s="227">
        <v>0</v>
      </c>
      <c r="O71" s="227">
        <v>0</v>
      </c>
      <c r="P71" s="226">
        <v>0.20300000000000001</v>
      </c>
    </row>
    <row r="72" spans="2:19" x14ac:dyDescent="0.25">
      <c r="F72" t="s">
        <v>908</v>
      </c>
      <c r="H72" t="s">
        <v>448</v>
      </c>
      <c r="J72" s="231">
        <v>0</v>
      </c>
      <c r="K72" s="231">
        <v>0</v>
      </c>
      <c r="L72" s="231">
        <v>0</v>
      </c>
      <c r="M72" s="231">
        <v>0</v>
      </c>
      <c r="N72" s="231">
        <v>0</v>
      </c>
      <c r="O72" s="231">
        <v>0</v>
      </c>
      <c r="P72" s="231">
        <v>0</v>
      </c>
    </row>
    <row r="73" spans="2:19" x14ac:dyDescent="0.25">
      <c r="F73" t="s">
        <v>900</v>
      </c>
      <c r="H73" t="s">
        <v>448</v>
      </c>
      <c r="J73" s="226">
        <v>-5.6890000000000001</v>
      </c>
      <c r="K73" s="226">
        <v>-0.54800000000000004</v>
      </c>
      <c r="L73" s="226">
        <v>-1.4E-2</v>
      </c>
      <c r="M73" s="227">
        <v>0</v>
      </c>
      <c r="N73" s="227">
        <v>0</v>
      </c>
      <c r="O73" s="227">
        <v>0</v>
      </c>
      <c r="P73" s="226">
        <v>0.182</v>
      </c>
    </row>
    <row r="74" spans="2:19" x14ac:dyDescent="0.25">
      <c r="F74" t="s">
        <v>907</v>
      </c>
      <c r="H74" t="s">
        <v>448</v>
      </c>
      <c r="J74" s="231">
        <v>0</v>
      </c>
      <c r="K74" s="231">
        <v>0</v>
      </c>
      <c r="L74" s="231">
        <v>0</v>
      </c>
      <c r="M74" s="231">
        <v>0</v>
      </c>
      <c r="N74" s="231">
        <v>0</v>
      </c>
      <c r="O74" s="231">
        <v>0</v>
      </c>
      <c r="P74" s="231">
        <v>0</v>
      </c>
    </row>
    <row r="75" spans="2:19" x14ac:dyDescent="0.25">
      <c r="F75" t="s">
        <v>901</v>
      </c>
      <c r="H75" t="s">
        <v>448</v>
      </c>
      <c r="J75" s="226">
        <v>-3.7330000000000001</v>
      </c>
      <c r="K75" s="226">
        <v>-0.316</v>
      </c>
      <c r="L75" s="226">
        <v>-6.0000000000000001E-3</v>
      </c>
      <c r="M75" s="227">
        <v>0</v>
      </c>
      <c r="N75" s="227">
        <v>0</v>
      </c>
      <c r="O75" s="227">
        <v>0</v>
      </c>
      <c r="P75" s="226">
        <v>0.156</v>
      </c>
    </row>
    <row r="76" spans="2:19" x14ac:dyDescent="0.25">
      <c r="F76" s="37" t="s">
        <v>906</v>
      </c>
      <c r="G76" s="37"/>
      <c r="H76" s="37" t="s">
        <v>448</v>
      </c>
      <c r="I76" s="37"/>
      <c r="J76" s="232">
        <v>0</v>
      </c>
      <c r="K76" s="232">
        <v>0</v>
      </c>
      <c r="L76" s="232">
        <v>0</v>
      </c>
      <c r="M76" s="232">
        <v>0</v>
      </c>
      <c r="N76" s="232">
        <v>0</v>
      </c>
      <c r="O76" s="232">
        <v>0</v>
      </c>
      <c r="P76" s="232">
        <v>0</v>
      </c>
    </row>
    <row r="77" spans="2:19" x14ac:dyDescent="0.25">
      <c r="D77" s="32"/>
      <c r="E77" s="32"/>
      <c r="F77" s="32"/>
      <c r="G77" s="32"/>
      <c r="H77" s="32"/>
      <c r="I77" s="32"/>
      <c r="J77" s="32"/>
      <c r="K77" s="32"/>
      <c r="L77" s="32"/>
      <c r="M77" s="234"/>
      <c r="N77" s="234"/>
      <c r="O77" s="234"/>
      <c r="P77" s="32"/>
      <c r="Q77" s="32"/>
      <c r="R77" s="32"/>
      <c r="S77" s="32"/>
    </row>
    <row r="78" spans="2:19" x14ac:dyDescent="0.25">
      <c r="B78" s="30" t="s">
        <v>230</v>
      </c>
      <c r="C78" s="30"/>
      <c r="D78" s="30"/>
      <c r="E78" s="30"/>
      <c r="F78" s="30"/>
      <c r="G78" s="30"/>
      <c r="H78" s="30"/>
      <c r="I78" s="30"/>
      <c r="J78" s="30"/>
      <c r="K78" s="30"/>
      <c r="L78" s="104"/>
      <c r="M78" s="235"/>
      <c r="N78" s="235"/>
      <c r="O78" s="235"/>
      <c r="P78" s="104"/>
      <c r="Q78" s="104"/>
      <c r="R78" s="104"/>
    </row>
    <row r="79" spans="2:19" x14ac:dyDescent="0.25">
      <c r="M79" s="233"/>
      <c r="N79" s="233"/>
      <c r="O79" s="233"/>
    </row>
    <row r="80" spans="2:19" x14ac:dyDescent="0.25">
      <c r="D80"/>
      <c r="E80" t="s">
        <v>231</v>
      </c>
      <c r="G80" s="6" t="s">
        <v>54</v>
      </c>
      <c r="H80" s="26">
        <f t="array" ref="H80">SUM(IF(ISERROR(J16:P76), 1))</f>
        <v>0</v>
      </c>
      <c r="M80" s="233"/>
      <c r="N80" s="233"/>
      <c r="O80" s="233"/>
    </row>
    <row r="81" spans="2:18" x14ac:dyDescent="0.25">
      <c r="M81" s="233"/>
      <c r="N81" s="233"/>
      <c r="O81" s="233"/>
    </row>
    <row r="82" spans="2:18" x14ac:dyDescent="0.25">
      <c r="B82" s="30" t="s">
        <v>105</v>
      </c>
      <c r="C82" s="30"/>
      <c r="D82" s="30"/>
      <c r="E82" s="30"/>
      <c r="F82" s="30"/>
      <c r="G82" s="30"/>
      <c r="H82" s="30"/>
      <c r="I82" s="30"/>
      <c r="J82" s="30"/>
      <c r="K82" s="30"/>
      <c r="L82" s="104"/>
      <c r="M82" s="235"/>
      <c r="N82" s="235"/>
      <c r="O82" s="235"/>
      <c r="P82" s="104"/>
      <c r="Q82" s="104"/>
      <c r="R82" s="104"/>
    </row>
    <row r="83" spans="2:18" x14ac:dyDescent="0.25">
      <c r="M83" s="233"/>
      <c r="N83" s="233"/>
      <c r="O83" s="233"/>
    </row>
    <row r="84" spans="2:18" x14ac:dyDescent="0.25">
      <c r="D84"/>
    </row>
  </sheetData>
  <sheetProtection sheet="1" objects="1" formatCells="0" formatColumns="0" formatRows="0" sort="0" autoFilter="0"/>
  <conditionalFormatting sqref="H80">
    <cfRule type="cellIs" dxfId="3" priority="12" operator="greaterThan">
      <formula>0</formula>
    </cfRule>
  </conditionalFormatting>
  <conditionalFormatting sqref="A4:XFD4">
    <cfRule type="expression" dxfId="2" priority="1">
      <formula>LEFT($A$4,1) &lt;&gt; "0"</formula>
    </cfRule>
  </conditionalFormatting>
  <hyperlinks>
    <hyperlink ref="B5:F5" location="'Model map'!A1" display="Click here to return to model map" xr:uid="{00000000-0004-0000-1B00-000000000000}"/>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9">
    <tabColor theme="9" tint="0.39997558519241921"/>
    <pageSetUpPr fitToPage="1"/>
  </sheetPr>
  <dimension ref="A1:KA8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31" width="17" hidden="1" customWidth="1"/>
    <col min="32" max="32" width="2.42578125" hidden="1" customWidth="1"/>
    <col min="33" max="33" width="18.42578125" hidden="1" customWidth="1"/>
    <col min="34" max="34" width="4.42578125" hidden="1" customWidth="1"/>
    <col min="35" max="287" width="24.5703125" hidden="1" customWidth="1"/>
    <col min="288" max="16384" width="8.5703125" hidden="1"/>
  </cols>
  <sheetData>
    <row r="1" spans="1:27" s="1" customFormat="1" x14ac:dyDescent="0.25">
      <c r="A1" s="1" t="str">
        <f ca="1">MID(CELL("filename",A1),FIND("]",CELL("filename",A1))+1,255)</f>
        <v>Output to other models</v>
      </c>
    </row>
    <row r="2" spans="1:27" s="1" customFormat="1" x14ac:dyDescent="0.25">
      <c r="A2" s="1" t="str">
        <f>Cover!D21&amp;" - "&amp;Cover!D23</f>
        <v>SP Distribution - Two</v>
      </c>
    </row>
    <row r="3" spans="1:27" s="5" customFormat="1" x14ac:dyDescent="0.25">
      <c r="A3" s="5" t="str">
        <f>Cover!D2&amp;" - "&amp;Cover!D8&amp;" v"&amp;Cover!D10&amp;" - "&amp;Cover!D19</f>
        <v>CDCM charging model - Release for charge setting v6 - 2021/22</v>
      </c>
    </row>
    <row r="4" spans="1:27" x14ac:dyDescent="0.25">
      <c r="A4" s="12" t="str">
        <f>H78 &amp; IF(H78 = 1, " issue", " issues") &amp;" identified in checks on this sheet"</f>
        <v>0 issues identified in checks on this sheet</v>
      </c>
      <c r="B4" s="13"/>
      <c r="C4" s="13"/>
      <c r="D4" s="13"/>
      <c r="E4" s="13"/>
      <c r="F4" s="13"/>
      <c r="G4" s="13"/>
      <c r="H4" s="14"/>
      <c r="I4" s="14"/>
      <c r="J4" s="13"/>
    </row>
    <row r="5" spans="1:27" x14ac:dyDescent="0.25">
      <c r="B5" s="59" t="s">
        <v>141</v>
      </c>
      <c r="C5" s="60"/>
      <c r="D5" s="60"/>
      <c r="E5" s="60"/>
      <c r="F5" s="60"/>
      <c r="G5" s="61" t="s">
        <v>142</v>
      </c>
      <c r="H5" s="93" t="s">
        <v>143</v>
      </c>
      <c r="AA5" s="61" t="s">
        <v>144</v>
      </c>
    </row>
    <row r="7" spans="1:27" x14ac:dyDescent="0.25">
      <c r="B7" s="30" t="s">
        <v>9</v>
      </c>
      <c r="C7" s="30"/>
      <c r="D7" s="30"/>
      <c r="E7" s="30"/>
      <c r="F7" s="30"/>
      <c r="G7" s="30"/>
      <c r="H7" s="30"/>
      <c r="I7" s="30"/>
      <c r="J7" s="30"/>
      <c r="K7" s="30"/>
      <c r="L7" s="105"/>
      <c r="M7" s="105"/>
      <c r="N7" s="105"/>
      <c r="O7" s="105"/>
      <c r="P7" s="105"/>
      <c r="Q7" s="105"/>
      <c r="R7" s="105"/>
      <c r="S7" s="105"/>
      <c r="T7" s="105"/>
      <c r="U7" s="105"/>
      <c r="V7" s="105"/>
      <c r="W7" s="105"/>
      <c r="X7" s="105"/>
      <c r="Y7" s="105"/>
      <c r="Z7" s="105"/>
      <c r="AA7" s="105"/>
    </row>
    <row r="9" spans="1:27" x14ac:dyDescent="0.25">
      <c r="C9" s="29" t="s">
        <v>872</v>
      </c>
      <c r="E9"/>
    </row>
    <row r="10" spans="1:27" x14ac:dyDescent="0.25">
      <c r="C10" s="29" t="s">
        <v>873</v>
      </c>
      <c r="E10"/>
    </row>
    <row r="12" spans="1:27" x14ac:dyDescent="0.25">
      <c r="B12" s="30" t="s">
        <v>874</v>
      </c>
      <c r="C12" s="30"/>
      <c r="D12" s="30"/>
      <c r="E12" s="30"/>
      <c r="F12" s="30"/>
      <c r="G12" s="30"/>
      <c r="H12" s="30"/>
      <c r="I12" s="30"/>
      <c r="J12" s="30"/>
      <c r="K12" s="30"/>
      <c r="L12" s="105"/>
      <c r="M12" s="105"/>
      <c r="N12" s="105"/>
      <c r="O12" s="105"/>
      <c r="P12" s="105"/>
      <c r="Q12" s="105"/>
      <c r="R12" s="105"/>
      <c r="S12" s="105"/>
      <c r="T12" s="105"/>
      <c r="U12" s="105"/>
      <c r="V12" s="105"/>
      <c r="W12" s="105"/>
      <c r="X12" s="105"/>
      <c r="Y12" s="105"/>
      <c r="Z12" s="105"/>
      <c r="AA12" s="105"/>
    </row>
    <row r="14" spans="1:27" x14ac:dyDescent="0.25">
      <c r="B14" s="29"/>
      <c r="C14" s="31" t="str">
        <f ca="1">INDEX('Version control'!$H$34:$H$57,MATCH($A$1,'Version control'!$F$34:$F$57,0),1)&amp;"-A: CDCM notional EHV asset values"</f>
        <v>Output 102-A: CDCM notional EHV asset values</v>
      </c>
      <c r="D14" s="31"/>
      <c r="E14" s="31"/>
      <c r="F14" s="31"/>
      <c r="G14" s="31"/>
      <c r="H14" s="31"/>
      <c r="I14" s="31"/>
      <c r="J14" s="31"/>
      <c r="K14" s="31"/>
      <c r="L14" s="31"/>
      <c r="M14" s="31"/>
      <c r="N14" s="31"/>
      <c r="O14" s="31"/>
      <c r="P14" s="31"/>
      <c r="Q14" s="31"/>
      <c r="R14" s="31"/>
      <c r="S14" s="31"/>
      <c r="T14" s="31"/>
      <c r="U14" s="31"/>
      <c r="V14" s="31"/>
      <c r="W14" s="31"/>
      <c r="X14" s="31"/>
      <c r="Y14" s="31"/>
      <c r="Z14" s="31"/>
      <c r="AA14" s="31"/>
    </row>
    <row r="16" spans="1:27" x14ac:dyDescent="0.25">
      <c r="D16" s="29" t="s">
        <v>875</v>
      </c>
      <c r="E16"/>
    </row>
    <row r="17" spans="2:27" x14ac:dyDescent="0.25">
      <c r="D17" s="29"/>
      <c r="E17"/>
    </row>
    <row r="18" spans="2:27" x14ac:dyDescent="0.25">
      <c r="E18" s="32" t="s">
        <v>876</v>
      </c>
    </row>
    <row r="19" spans="2:27" x14ac:dyDescent="0.25">
      <c r="F19" s="64" t="s">
        <v>191</v>
      </c>
      <c r="G19" s="23" t="s">
        <v>276</v>
      </c>
      <c r="H19" s="236">
        <f t="array" ref="H19:H23">TRANSPOSE('Unit costs'!L108:P108)</f>
        <v>0</v>
      </c>
    </row>
    <row r="20" spans="2:27" x14ac:dyDescent="0.25">
      <c r="E20"/>
      <c r="F20" s="28" t="s">
        <v>192</v>
      </c>
      <c r="G20" t="s">
        <v>276</v>
      </c>
      <c r="H20" s="237">
        <v>0</v>
      </c>
    </row>
    <row r="21" spans="2:27" x14ac:dyDescent="0.25">
      <c r="E21"/>
      <c r="F21" s="28" t="s">
        <v>193</v>
      </c>
      <c r="G21" t="s">
        <v>276</v>
      </c>
      <c r="H21" s="237">
        <v>741437229.1600107</v>
      </c>
    </row>
    <row r="22" spans="2:27" x14ac:dyDescent="0.25">
      <c r="E22"/>
      <c r="F22" s="28" t="s">
        <v>194</v>
      </c>
      <c r="G22" t="s">
        <v>276</v>
      </c>
      <c r="H22" s="237">
        <v>217794474.1953792</v>
      </c>
    </row>
    <row r="23" spans="2:27" x14ac:dyDescent="0.25">
      <c r="E23"/>
      <c r="F23" s="67" t="s">
        <v>195</v>
      </c>
      <c r="G23" s="37" t="s">
        <v>276</v>
      </c>
      <c r="H23" s="238">
        <v>0</v>
      </c>
    </row>
    <row r="25" spans="2:27" x14ac:dyDescent="0.25">
      <c r="B25" s="30" t="s">
        <v>877</v>
      </c>
      <c r="C25" s="30"/>
      <c r="D25" s="30"/>
      <c r="E25" s="30"/>
      <c r="F25" s="30"/>
      <c r="G25" s="30"/>
      <c r="H25" s="30"/>
      <c r="I25" s="30"/>
      <c r="J25" s="30"/>
      <c r="K25" s="30"/>
      <c r="L25" s="105"/>
      <c r="M25" s="105"/>
      <c r="N25" s="105"/>
      <c r="O25" s="105"/>
      <c r="P25" s="105"/>
      <c r="Q25" s="105"/>
      <c r="R25" s="105"/>
      <c r="S25" s="105"/>
      <c r="T25" s="105"/>
      <c r="U25" s="105"/>
      <c r="V25" s="105"/>
      <c r="W25" s="105"/>
      <c r="X25" s="105"/>
      <c r="Y25" s="105"/>
      <c r="Z25" s="105"/>
      <c r="AA25" s="105"/>
    </row>
    <row r="27" spans="2:27" x14ac:dyDescent="0.25">
      <c r="C27" s="31" t="str">
        <f ca="1">INDEX('Version control'!$H$34:$H$57,MATCH($A$1,'Version control'!$F$34:$F$57,0),1)&amp;"-B: CDCM end user tariff forecast"</f>
        <v>Output 102-B: CDCM end user tariff forecast</v>
      </c>
      <c r="D27" s="31"/>
      <c r="E27" s="31"/>
      <c r="F27" s="31"/>
      <c r="G27" s="31"/>
      <c r="H27" s="31"/>
      <c r="I27" s="31"/>
      <c r="J27" s="31"/>
      <c r="K27" s="31"/>
      <c r="L27" s="31"/>
      <c r="M27" s="31"/>
      <c r="N27" s="31"/>
      <c r="O27" s="31"/>
      <c r="P27" s="31"/>
      <c r="Q27" s="31"/>
      <c r="R27" s="31"/>
      <c r="S27" s="31"/>
      <c r="T27" s="31"/>
      <c r="U27" s="31"/>
      <c r="V27" s="31"/>
      <c r="W27" s="31"/>
      <c r="X27" s="31"/>
      <c r="Y27" s="31"/>
      <c r="Z27" s="31"/>
      <c r="AA27" s="31"/>
    </row>
    <row r="29" spans="2:27" x14ac:dyDescent="0.25">
      <c r="D29" s="29" t="s">
        <v>1021</v>
      </c>
      <c r="E29"/>
    </row>
    <row r="31" spans="2:27" ht="45" x14ac:dyDescent="0.25">
      <c r="C31" s="239"/>
      <c r="E31" s="32" t="s">
        <v>878</v>
      </c>
      <c r="J31" s="240" t="s">
        <v>893</v>
      </c>
      <c r="K31" s="240" t="s">
        <v>895</v>
      </c>
      <c r="L31" s="240" t="s">
        <v>894</v>
      </c>
      <c r="M31" s="240" t="s">
        <v>896</v>
      </c>
      <c r="N31" s="240" t="s">
        <v>902</v>
      </c>
      <c r="O31" s="240" t="s">
        <v>903</v>
      </c>
      <c r="P31" s="240" t="s">
        <v>904</v>
      </c>
      <c r="Q31" s="240" t="s">
        <v>1027</v>
      </c>
      <c r="R31" s="240" t="s">
        <v>1028</v>
      </c>
      <c r="S31" s="240" t="s">
        <v>1029</v>
      </c>
      <c r="T31" s="240" t="s">
        <v>905</v>
      </c>
      <c r="U31" s="240" t="s">
        <v>897</v>
      </c>
      <c r="V31" s="240" t="s">
        <v>898</v>
      </c>
      <c r="W31" s="240" t="s">
        <v>899</v>
      </c>
      <c r="X31" s="240" t="s">
        <v>900</v>
      </c>
      <c r="Y31" s="240" t="s">
        <v>901</v>
      </c>
    </row>
    <row r="32" spans="2:27" x14ac:dyDescent="0.25">
      <c r="C32" s="239"/>
      <c r="D32"/>
      <c r="F32" s="241" t="s">
        <v>155</v>
      </c>
      <c r="G32" s="241" t="s">
        <v>268</v>
      </c>
      <c r="H32" s="269" t="s">
        <v>837</v>
      </c>
      <c r="I32" s="269"/>
      <c r="J32" s="294">
        <f>Rounding!J90</f>
        <v>10.154684538600296</v>
      </c>
      <c r="K32" s="294">
        <f>Rounding!K90</f>
        <v>10.154684538600296</v>
      </c>
      <c r="L32" s="294">
        <f>Rounding!L90</f>
        <v>11.609454272217189</v>
      </c>
      <c r="M32" s="294">
        <f>Rounding!M90</f>
        <v>11.609454272217189</v>
      </c>
      <c r="N32" s="294">
        <f>Rounding!N90</f>
        <v>8.1806627632205444</v>
      </c>
      <c r="O32" s="294">
        <f>Rounding!O90</f>
        <v>5.3091108008393073</v>
      </c>
      <c r="P32" s="294">
        <f>Rounding!P90</f>
        <v>4.3005232669411351</v>
      </c>
      <c r="Q32" s="294">
        <f>Rounding!Q90</f>
        <v>7.0335580755778464</v>
      </c>
      <c r="R32" s="294">
        <f>Rounding!R90</f>
        <v>4.1620061131966093</v>
      </c>
      <c r="S32" s="294">
        <f>Rounding!S90</f>
        <v>3.1534185792984371</v>
      </c>
      <c r="T32" s="294">
        <f>Rounding!T90</f>
        <v>22.728207842675385</v>
      </c>
      <c r="U32" s="294">
        <f>Rounding!U90</f>
        <v>-6.4413635387668471</v>
      </c>
      <c r="V32" s="294">
        <f>Rounding!V90</f>
        <v>-5.6891199709087141</v>
      </c>
      <c r="W32" s="294">
        <f>Rounding!W90</f>
        <v>-6.4413635387668471</v>
      </c>
      <c r="X32" s="294">
        <f>Rounding!Y90</f>
        <v>-5.6891199709087141</v>
      </c>
      <c r="Y32" s="294">
        <f>Rounding!AA90</f>
        <v>-3.732687631507082</v>
      </c>
      <c r="Z32" s="271"/>
      <c r="AA32" s="271"/>
    </row>
    <row r="33" spans="3:27" x14ac:dyDescent="0.25">
      <c r="C33" s="239"/>
      <c r="D33"/>
      <c r="F33" s="242" t="s">
        <v>156</v>
      </c>
      <c r="G33" s="242" t="s">
        <v>268</v>
      </c>
      <c r="H33" s="271" t="s">
        <v>837</v>
      </c>
      <c r="I33" s="271"/>
      <c r="J33" s="295">
        <f>Rounding!J91</f>
        <v>2.030113890331732</v>
      </c>
      <c r="K33" s="295">
        <f>Rounding!K91</f>
        <v>2.030113890331732</v>
      </c>
      <c r="L33" s="295">
        <f>Rounding!L91</f>
        <v>2.1727243455075054</v>
      </c>
      <c r="M33" s="295">
        <f>Rounding!M91</f>
        <v>2.1727243455075054</v>
      </c>
      <c r="N33" s="295">
        <f>Rounding!N91</f>
        <v>1.8130518310452894</v>
      </c>
      <c r="O33" s="295">
        <f>Rounding!O91</f>
        <v>1.5011295927806836</v>
      </c>
      <c r="P33" s="295">
        <f>Rounding!P91</f>
        <v>1.3997210263880107</v>
      </c>
      <c r="Q33" s="295">
        <f>Rounding!Q91</f>
        <v>0.66594714340259142</v>
      </c>
      <c r="R33" s="295">
        <f>Rounding!R91</f>
        <v>0.35402490513798557</v>
      </c>
      <c r="S33" s="295">
        <f>Rounding!S91</f>
        <v>0.25261633874531259</v>
      </c>
      <c r="T33" s="295">
        <f>Rounding!T91</f>
        <v>2.3423494600656296</v>
      </c>
      <c r="U33" s="295">
        <f>Rounding!U91</f>
        <v>-0.63144411448010185</v>
      </c>
      <c r="V33" s="295">
        <f>Rounding!V91</f>
        <v>-0.54797375527131609</v>
      </c>
      <c r="W33" s="295">
        <f>Rounding!W91</f>
        <v>-0.63144411448010185</v>
      </c>
      <c r="X33" s="295">
        <f>Rounding!Y91</f>
        <v>-0.54797375527131609</v>
      </c>
      <c r="Y33" s="295">
        <f>Rounding!AA91</f>
        <v>-0.31633967493658671</v>
      </c>
      <c r="Z33" s="271"/>
      <c r="AA33" s="271"/>
    </row>
    <row r="34" spans="3:27" x14ac:dyDescent="0.25">
      <c r="C34" s="239"/>
      <c r="D34"/>
      <c r="F34" s="242" t="s">
        <v>157</v>
      </c>
      <c r="G34" s="242" t="s">
        <v>268</v>
      </c>
      <c r="H34" s="271" t="s">
        <v>837</v>
      </c>
      <c r="I34" s="271"/>
      <c r="J34" s="295">
        <f>Rounding!J92</f>
        <v>1.1699297081920386</v>
      </c>
      <c r="K34" s="295">
        <f>Rounding!K92</f>
        <v>1.1699297081920386</v>
      </c>
      <c r="L34" s="295">
        <f>Rounding!L92</f>
        <v>1.1736160645290112</v>
      </c>
      <c r="M34" s="295">
        <f>Rounding!M92</f>
        <v>1.1736160645290112</v>
      </c>
      <c r="N34" s="295">
        <f>Rounding!N92</f>
        <v>1.1632853758630821</v>
      </c>
      <c r="O34" s="295">
        <f>Rounding!O92</f>
        <v>1.1538872527162751</v>
      </c>
      <c r="P34" s="295">
        <f>Rounding!P92</f>
        <v>1.1511545866262785</v>
      </c>
      <c r="Q34" s="295">
        <f>Rounding!Q92</f>
        <v>1.6180688220383998E-2</v>
      </c>
      <c r="R34" s="295">
        <f>Rounding!R92</f>
        <v>6.782565073577133E-3</v>
      </c>
      <c r="S34" s="295">
        <f>Rounding!S92</f>
        <v>4.0498989835803315E-3</v>
      </c>
      <c r="T34" s="295">
        <f>Rounding!T92</f>
        <v>1.596395900786951</v>
      </c>
      <c r="U34" s="295">
        <f>Rounding!U92</f>
        <v>-1.632228163067535E-2</v>
      </c>
      <c r="V34" s="295">
        <f>Rounding!V92</f>
        <v>-1.3737723553938727E-2</v>
      </c>
      <c r="W34" s="295">
        <f>Rounding!W92</f>
        <v>-1.632228163067535E-2</v>
      </c>
      <c r="X34" s="295">
        <f>Rounding!Y92</f>
        <v>-1.3737723553938727E-2</v>
      </c>
      <c r="Y34" s="295">
        <f>Rounding!AA92</f>
        <v>-6.0015573611233893E-3</v>
      </c>
      <c r="Z34" s="271"/>
      <c r="AA34" s="271"/>
    </row>
    <row r="35" spans="3:27" x14ac:dyDescent="0.25">
      <c r="C35" s="239"/>
      <c r="D35"/>
      <c r="F35" s="242" t="s">
        <v>158</v>
      </c>
      <c r="G35" s="242" t="s">
        <v>269</v>
      </c>
      <c r="H35" t="s">
        <v>837</v>
      </c>
      <c r="J35" s="237">
        <f>Rounding!J93</f>
        <v>4.5716420838261662</v>
      </c>
      <c r="K35" s="237">
        <f>Rounding!K93</f>
        <v>0</v>
      </c>
      <c r="L35" s="237">
        <f>Rounding!L93</f>
        <v>5.8510599368879221</v>
      </c>
      <c r="M35" s="237">
        <f>Rounding!M93</f>
        <v>0</v>
      </c>
      <c r="N35" s="237">
        <f>Rounding!N93</f>
        <v>23.235516904135658</v>
      </c>
      <c r="O35" s="237">
        <f>Rounding!O93</f>
        <v>8.2007706720478808</v>
      </c>
      <c r="P35" s="237">
        <f>Rounding!P93</f>
        <v>124.16460347195436</v>
      </c>
      <c r="Q35" s="237">
        <f>Rounding!Q93</f>
        <v>23.235516904135658</v>
      </c>
      <c r="R35" s="237">
        <f>Rounding!R93</f>
        <v>8.2007706720478808</v>
      </c>
      <c r="S35" s="237">
        <f>Rounding!S93</f>
        <v>124.16460347195436</v>
      </c>
      <c r="T35" s="237">
        <f>Rounding!T93</f>
        <v>0</v>
      </c>
      <c r="U35" s="237">
        <f>Rounding!U93</f>
        <v>0</v>
      </c>
      <c r="V35" s="237">
        <f>Rounding!V93</f>
        <v>0</v>
      </c>
      <c r="W35" s="237">
        <f>Rounding!W93</f>
        <v>0</v>
      </c>
      <c r="X35" s="237">
        <f>Rounding!Y93</f>
        <v>0</v>
      </c>
      <c r="Y35" s="237">
        <f>Rounding!AA93</f>
        <v>90.667330037272208</v>
      </c>
    </row>
    <row r="36" spans="3:27" x14ac:dyDescent="0.25">
      <c r="C36" s="239"/>
      <c r="D36"/>
      <c r="F36" s="242" t="s">
        <v>159</v>
      </c>
      <c r="G36" s="242" t="s">
        <v>270</v>
      </c>
      <c r="H36" t="s">
        <v>837</v>
      </c>
      <c r="J36" s="237">
        <f>Rounding!J94</f>
        <v>0</v>
      </c>
      <c r="K36" s="237">
        <f>Rounding!K94</f>
        <v>0</v>
      </c>
      <c r="L36" s="237">
        <f>Rounding!L94</f>
        <v>0</v>
      </c>
      <c r="M36" s="237">
        <f>Rounding!M94</f>
        <v>0</v>
      </c>
      <c r="N36" s="237">
        <f>Rounding!N94</f>
        <v>2.498083735110924</v>
      </c>
      <c r="O36" s="237">
        <f>Rounding!O94</f>
        <v>4.5053338960962241</v>
      </c>
      <c r="P36" s="237">
        <f>Rounding!P94</f>
        <v>4.9643297738527297</v>
      </c>
      <c r="Q36" s="237">
        <f>Rounding!Q94</f>
        <v>2.498083735110924</v>
      </c>
      <c r="R36" s="237">
        <f>Rounding!R94</f>
        <v>4.5053338960962241</v>
      </c>
      <c r="S36" s="237">
        <f>Rounding!S94</f>
        <v>4.9643297738527297</v>
      </c>
      <c r="T36" s="237">
        <f>Rounding!T94</f>
        <v>0</v>
      </c>
      <c r="U36" s="237">
        <f>Rounding!U94</f>
        <v>0</v>
      </c>
      <c r="V36" s="237">
        <f>Rounding!V94</f>
        <v>0</v>
      </c>
      <c r="W36" s="237">
        <f>Rounding!W94</f>
        <v>0</v>
      </c>
      <c r="X36" s="237">
        <f>Rounding!Y94</f>
        <v>0</v>
      </c>
      <c r="Y36" s="237">
        <f>Rounding!AA94</f>
        <v>0</v>
      </c>
    </row>
    <row r="37" spans="3:27" x14ac:dyDescent="0.25">
      <c r="C37" s="239"/>
      <c r="D37"/>
      <c r="F37" s="242" t="s">
        <v>160</v>
      </c>
      <c r="G37" s="242" t="s">
        <v>270</v>
      </c>
      <c r="H37" t="s">
        <v>837</v>
      </c>
      <c r="J37" s="237">
        <f>Rounding!J95</f>
        <v>0</v>
      </c>
      <c r="K37" s="237">
        <f>Rounding!K95</f>
        <v>0</v>
      </c>
      <c r="L37" s="237">
        <f>Rounding!L95</f>
        <v>0</v>
      </c>
      <c r="M37" s="237">
        <f>Rounding!M95</f>
        <v>0</v>
      </c>
      <c r="N37" s="237">
        <f>Rounding!N95</f>
        <v>3.691279099689118</v>
      </c>
      <c r="O37" s="237">
        <f>Rounding!O95</f>
        <v>5.1392827901526239</v>
      </c>
      <c r="P37" s="237">
        <f>Rounding!P95</f>
        <v>6.1243810865470367</v>
      </c>
      <c r="Q37" s="237">
        <f>Rounding!Q95</f>
        <v>3.691279099689118</v>
      </c>
      <c r="R37" s="237">
        <f>Rounding!R95</f>
        <v>5.1392827901526239</v>
      </c>
      <c r="S37" s="237">
        <f>Rounding!S95</f>
        <v>6.1243810865470367</v>
      </c>
      <c r="T37" s="237">
        <f>Rounding!T95</f>
        <v>0</v>
      </c>
      <c r="U37" s="237">
        <f>Rounding!U95</f>
        <v>0</v>
      </c>
      <c r="V37" s="237">
        <f>Rounding!V95</f>
        <v>0</v>
      </c>
      <c r="W37" s="237">
        <f>Rounding!W95</f>
        <v>0</v>
      </c>
      <c r="X37" s="237">
        <f>Rounding!Y95</f>
        <v>0</v>
      </c>
      <c r="Y37" s="237">
        <f>Rounding!AA95</f>
        <v>0</v>
      </c>
    </row>
    <row r="38" spans="3:27" x14ac:dyDescent="0.25">
      <c r="C38" s="239"/>
      <c r="D38"/>
      <c r="F38" s="243" t="s">
        <v>161</v>
      </c>
      <c r="G38" s="243" t="s">
        <v>271</v>
      </c>
      <c r="H38" s="275" t="s">
        <v>837</v>
      </c>
      <c r="I38" s="275"/>
      <c r="J38" s="296">
        <f>Rounding!J96</f>
        <v>0</v>
      </c>
      <c r="K38" s="296">
        <f>Rounding!K96</f>
        <v>0</v>
      </c>
      <c r="L38" s="296">
        <f>Rounding!L96</f>
        <v>0</v>
      </c>
      <c r="M38" s="296">
        <f>Rounding!M96</f>
        <v>0</v>
      </c>
      <c r="N38" s="296">
        <f>Rounding!N96</f>
        <v>0.23544821131127469</v>
      </c>
      <c r="O38" s="296">
        <f>Rounding!O96</f>
        <v>0.13709057031775684</v>
      </c>
      <c r="P38" s="296">
        <f>Rounding!P96</f>
        <v>0.10158869577513742</v>
      </c>
      <c r="Q38" s="296">
        <f>Rounding!Q96</f>
        <v>0.23544821131127469</v>
      </c>
      <c r="R38" s="296">
        <f>Rounding!R96</f>
        <v>0.13709057031775684</v>
      </c>
      <c r="S38" s="296">
        <f>Rounding!S96</f>
        <v>0.10158869577513742</v>
      </c>
      <c r="T38" s="296">
        <f>Rounding!T96</f>
        <v>0</v>
      </c>
      <c r="U38" s="296">
        <f>Rounding!U96</f>
        <v>0</v>
      </c>
      <c r="V38" s="296">
        <f>Rounding!V96</f>
        <v>0</v>
      </c>
      <c r="W38" s="296">
        <f>Rounding!W96</f>
        <v>0.20319917220642791</v>
      </c>
      <c r="X38" s="296">
        <f>Rounding!Y96</f>
        <v>0.1816089264144457</v>
      </c>
      <c r="Y38" s="296">
        <f>Rounding!AA96</f>
        <v>0.15574087273376108</v>
      </c>
      <c r="Z38" s="271"/>
      <c r="AA38" s="271"/>
    </row>
    <row r="39" spans="3:27" x14ac:dyDescent="0.25">
      <c r="D39"/>
      <c r="E39"/>
      <c r="F39" s="244"/>
    </row>
    <row r="40" spans="3:27" x14ac:dyDescent="0.25">
      <c r="D40" s="29" t="s">
        <v>1020</v>
      </c>
      <c r="E40"/>
    </row>
    <row r="42" spans="3:27" ht="60" customHeight="1" x14ac:dyDescent="0.25">
      <c r="D42"/>
      <c r="E42"/>
      <c r="F42" s="244"/>
      <c r="J42" s="240" t="s">
        <v>893</v>
      </c>
      <c r="K42" s="240" t="s">
        <v>895</v>
      </c>
      <c r="L42" s="240" t="s">
        <v>894</v>
      </c>
      <c r="M42" s="240" t="s">
        <v>896</v>
      </c>
      <c r="N42" s="240" t="s">
        <v>902</v>
      </c>
      <c r="O42" s="240" t="s">
        <v>903</v>
      </c>
      <c r="P42" s="240" t="s">
        <v>904</v>
      </c>
      <c r="Q42" s="240" t="s">
        <v>1027</v>
      </c>
      <c r="R42" s="240" t="s">
        <v>1028</v>
      </c>
      <c r="S42" s="240" t="s">
        <v>1029</v>
      </c>
      <c r="T42" s="240" t="s">
        <v>905</v>
      </c>
      <c r="U42" s="240" t="s">
        <v>897</v>
      </c>
      <c r="V42" s="240" t="s">
        <v>898</v>
      </c>
      <c r="W42" s="240" t="s">
        <v>899</v>
      </c>
      <c r="X42" s="240" t="s">
        <v>900</v>
      </c>
      <c r="Y42" s="240" t="s">
        <v>901</v>
      </c>
    </row>
    <row r="43" spans="3:27" x14ac:dyDescent="0.25">
      <c r="D43"/>
      <c r="E43" t="s">
        <v>1011</v>
      </c>
      <c r="F43" s="244"/>
      <c r="G43" t="s">
        <v>269</v>
      </c>
      <c r="J43" s="237">
        <f>'Fixed charge adder'!J46</f>
        <v>0.1918907862699662</v>
      </c>
      <c r="K43" s="237">
        <f>'Fixed charge adder'!K46</f>
        <v>0</v>
      </c>
      <c r="L43" s="237">
        <f>'Fixed charge adder'!L46</f>
        <v>0.18529588547307707</v>
      </c>
      <c r="M43" s="237">
        <f>'Fixed charge adder'!M46</f>
        <v>0</v>
      </c>
      <c r="N43" s="237">
        <f>'Fixed charge adder'!N46</f>
        <v>0.18529588547307707</v>
      </c>
      <c r="O43" s="237">
        <f>'Fixed charge adder'!O46</f>
        <v>0.18529588547307707</v>
      </c>
      <c r="P43" s="237">
        <f>'Fixed charge adder'!P46</f>
        <v>0.18529588547307707</v>
      </c>
      <c r="Q43" s="237">
        <f>'Fixed charge adder'!Q46</f>
        <v>0.18529588547307707</v>
      </c>
      <c r="R43" s="237">
        <f>'Fixed charge adder'!R46</f>
        <v>0.18529588547307707</v>
      </c>
      <c r="S43" s="237">
        <f>'Fixed charge adder'!S46</f>
        <v>0.18529588547307707</v>
      </c>
      <c r="T43" s="237">
        <f>'Fixed charge adder'!T46</f>
        <v>0</v>
      </c>
      <c r="U43" s="237">
        <f>'Fixed charge adder'!U46</f>
        <v>0</v>
      </c>
      <c r="V43" s="237">
        <f>'Fixed charge adder'!V46</f>
        <v>0</v>
      </c>
      <c r="W43" s="237">
        <f>'Fixed charge adder'!W46</f>
        <v>0</v>
      </c>
      <c r="X43" s="237">
        <f>'Fixed charge adder'!Y46</f>
        <v>0</v>
      </c>
      <c r="Y43" s="237">
        <f>'Fixed charge adder'!AA46</f>
        <v>0</v>
      </c>
    </row>
    <row r="44" spans="3:27" x14ac:dyDescent="0.25">
      <c r="D44"/>
      <c r="E44"/>
      <c r="F44" s="244"/>
    </row>
    <row r="45" spans="3:27" x14ac:dyDescent="0.25">
      <c r="C45" s="31" t="str">
        <f ca="1">INDEX('Version control'!$H$34:$H$57,MATCH($A$1,'Version control'!$F$34:$F$57,0),1)&amp;"-C: CDCM non-tariff outputs to EDCM"</f>
        <v>Output 102-C: CDCM non-tariff outputs to EDCM</v>
      </c>
      <c r="D45" s="31"/>
      <c r="E45" s="31"/>
      <c r="F45" s="31"/>
      <c r="G45" s="31"/>
      <c r="H45" s="31"/>
      <c r="I45" s="31"/>
      <c r="J45" s="31"/>
      <c r="K45" s="31"/>
      <c r="L45" s="31"/>
      <c r="M45" s="31"/>
      <c r="N45" s="31"/>
      <c r="O45" s="31"/>
      <c r="P45" s="31"/>
      <c r="Q45" s="31"/>
      <c r="R45" s="31"/>
      <c r="S45" s="31"/>
      <c r="T45" s="31"/>
      <c r="U45" s="31"/>
      <c r="V45" s="31"/>
      <c r="W45" s="31"/>
      <c r="X45" s="31"/>
      <c r="Y45" s="31"/>
      <c r="Z45" s="31"/>
      <c r="AA45" s="31"/>
    </row>
    <row r="46" spans="3:27" x14ac:dyDescent="0.25">
      <c r="C46" s="2"/>
      <c r="D46"/>
    </row>
    <row r="47" spans="3:27" x14ac:dyDescent="0.25">
      <c r="D47" s="29" t="s">
        <v>879</v>
      </c>
      <c r="E47"/>
    </row>
    <row r="49" spans="2:27" x14ac:dyDescent="0.25">
      <c r="D49"/>
      <c r="F49" s="2"/>
      <c r="G49" s="2"/>
      <c r="H49" s="2"/>
      <c r="I49" s="2"/>
      <c r="J49" s="114" t="s">
        <v>190</v>
      </c>
      <c r="K49" s="114" t="s">
        <v>191</v>
      </c>
      <c r="L49" s="114" t="s">
        <v>192</v>
      </c>
      <c r="M49" s="114" t="s">
        <v>193</v>
      </c>
      <c r="N49" s="114" t="s">
        <v>194</v>
      </c>
      <c r="O49" s="114" t="s">
        <v>195</v>
      </c>
      <c r="P49" s="114" t="s">
        <v>196</v>
      </c>
      <c r="Q49" s="114" t="s">
        <v>197</v>
      </c>
      <c r="R49" s="114" t="s">
        <v>198</v>
      </c>
      <c r="S49" s="114" t="s">
        <v>375</v>
      </c>
      <c r="T49" s="114" t="s">
        <v>376</v>
      </c>
    </row>
    <row r="50" spans="2:27" x14ac:dyDescent="0.25">
      <c r="D50"/>
      <c r="E50" s="311" t="s">
        <v>890</v>
      </c>
      <c r="F50" s="311"/>
      <c r="G50" s="67" t="s">
        <v>166</v>
      </c>
      <c r="H50" s="37"/>
      <c r="I50" s="37"/>
      <c r="J50" s="312"/>
      <c r="K50" s="313">
        <f t="array" ref="K50:O50">TRANSPOSE('System peak demand'!H227:H231)</f>
        <v>0.1160000000000001</v>
      </c>
      <c r="L50" s="313">
        <v>0.1160000000000001</v>
      </c>
      <c r="M50" s="313">
        <v>0.26107999999999998</v>
      </c>
      <c r="N50" s="313">
        <v>0.26107999999999998</v>
      </c>
      <c r="O50" s="313">
        <v>0.1160000000000001</v>
      </c>
      <c r="P50" s="312"/>
      <c r="Q50" s="312"/>
      <c r="R50" s="312"/>
      <c r="S50" s="312"/>
      <c r="T50" s="312"/>
    </row>
    <row r="51" spans="2:27" x14ac:dyDescent="0.25">
      <c r="D51"/>
      <c r="E51" s="314" t="s">
        <v>891</v>
      </c>
      <c r="F51" s="314"/>
      <c r="G51" s="108" t="s">
        <v>519</v>
      </c>
      <c r="H51" s="108"/>
      <c r="I51" s="108"/>
      <c r="J51" s="315">
        <f t="array" ref="J51:O51">TRANSPOSE('System peak demand'!H154:H159)</f>
        <v>2767001.376161966</v>
      </c>
      <c r="K51" s="315">
        <v>0</v>
      </c>
      <c r="L51" s="315">
        <v>0</v>
      </c>
      <c r="M51" s="315">
        <v>2755977.4662967776</v>
      </c>
      <c r="N51" s="315">
        <v>2716534.0743885324</v>
      </c>
      <c r="O51" s="315">
        <v>0</v>
      </c>
      <c r="P51" s="316"/>
      <c r="Q51" s="316"/>
      <c r="R51" s="316"/>
      <c r="S51" s="316"/>
      <c r="T51" s="316"/>
    </row>
    <row r="52" spans="2:27" x14ac:dyDescent="0.25">
      <c r="D52"/>
      <c r="E52" s="314" t="s">
        <v>880</v>
      </c>
      <c r="F52" s="314"/>
      <c r="G52" s="108" t="s">
        <v>276</v>
      </c>
      <c r="H52" s="108"/>
      <c r="I52" s="108"/>
      <c r="J52" s="316"/>
      <c r="K52" s="315">
        <f>'Unit costs'!L108</f>
        <v>0</v>
      </c>
      <c r="L52" s="315">
        <f>'Unit costs'!M108</f>
        <v>0</v>
      </c>
      <c r="M52" s="315">
        <f>'Unit costs'!N108</f>
        <v>741437229.1600107</v>
      </c>
      <c r="N52" s="315">
        <f>'Unit costs'!O108</f>
        <v>217794474.1953792</v>
      </c>
      <c r="O52" s="315">
        <f>'Unit costs'!P108</f>
        <v>0</v>
      </c>
      <c r="P52" s="315">
        <f>'Unit costs'!Q108</f>
        <v>957796813.40961504</v>
      </c>
      <c r="Q52" s="315">
        <f>'Unit costs'!R108</f>
        <v>211314718.68630251</v>
      </c>
      <c r="R52" s="315">
        <f>'Unit costs'!S108</f>
        <v>288438659.83383685</v>
      </c>
      <c r="S52" s="315">
        <f>'Unit costs'!T108</f>
        <v>838729811.88228226</v>
      </c>
      <c r="T52" s="315">
        <f>'Unit costs'!U108</f>
        <v>18640337.117758732</v>
      </c>
    </row>
    <row r="53" spans="2:27" x14ac:dyDescent="0.25">
      <c r="D53"/>
      <c r="E53" s="317" t="s">
        <v>391</v>
      </c>
      <c r="F53" s="317"/>
      <c r="G53" s="23" t="s">
        <v>282</v>
      </c>
      <c r="H53" s="23"/>
      <c r="I53" s="23"/>
      <c r="J53" s="236">
        <f>'Load &amp; loss characteristics'!K29</f>
        <v>1</v>
      </c>
      <c r="K53" s="236">
        <f>'Load &amp; loss characteristics'!L29</f>
        <v>1</v>
      </c>
      <c r="L53" s="236">
        <f>'Load &amp; loss characteristics'!M29</f>
        <v>1</v>
      </c>
      <c r="M53" s="236">
        <f>'Load &amp; loss characteristics'!N29</f>
        <v>1.004</v>
      </c>
      <c r="N53" s="236">
        <f>'Load &amp; loss characteristics'!O29</f>
        <v>1.0129999999999999</v>
      </c>
      <c r="O53" s="236">
        <f>'Load &amp; loss characteristics'!P29</f>
        <v>1.0129999999999999</v>
      </c>
      <c r="P53" s="83"/>
      <c r="Q53" s="83"/>
      <c r="R53" s="83"/>
      <c r="S53" s="83"/>
      <c r="T53" s="83"/>
    </row>
    <row r="54" spans="2:27" x14ac:dyDescent="0.25">
      <c r="D54"/>
      <c r="E54"/>
      <c r="F54" s="244"/>
    </row>
    <row r="55" spans="2:27" x14ac:dyDescent="0.25">
      <c r="B55" s="30" t="s">
        <v>881</v>
      </c>
      <c r="C55" s="30"/>
      <c r="D55" s="30"/>
      <c r="E55" s="30"/>
      <c r="F55" s="30"/>
      <c r="G55" s="30"/>
      <c r="H55" s="30"/>
      <c r="I55" s="30"/>
      <c r="J55" s="30"/>
      <c r="K55" s="30"/>
      <c r="L55" s="105"/>
      <c r="M55" s="105"/>
      <c r="N55" s="105"/>
      <c r="O55" s="105"/>
      <c r="P55" s="105"/>
      <c r="Q55" s="105"/>
      <c r="R55" s="105"/>
      <c r="S55" s="105"/>
      <c r="T55" s="105"/>
      <c r="U55" s="105"/>
      <c r="V55" s="105"/>
      <c r="W55" s="105"/>
      <c r="X55" s="105"/>
      <c r="Y55" s="105"/>
      <c r="Z55" s="105"/>
      <c r="AA55" s="105"/>
    </row>
    <row r="57" spans="2:27" x14ac:dyDescent="0.25">
      <c r="C57" s="31" t="str">
        <f ca="1">INDEX('Version control'!$H$34:$H$57,MATCH($A$1,'Version control'!$F$34:$F$57,0),1)&amp;"-D: Outputs for DNOs' internal use"</f>
        <v>Output 102-D: Outputs for DNOs' internal use</v>
      </c>
      <c r="D57" s="31"/>
      <c r="E57" s="31"/>
      <c r="F57" s="31"/>
      <c r="G57" s="31"/>
      <c r="H57" s="31"/>
      <c r="I57" s="31"/>
      <c r="J57" s="31"/>
      <c r="K57" s="31"/>
      <c r="L57" s="31"/>
      <c r="M57" s="31"/>
      <c r="N57" s="31"/>
      <c r="O57" s="31"/>
      <c r="P57" s="31"/>
      <c r="Q57" s="31"/>
      <c r="R57" s="31"/>
      <c r="S57" s="31"/>
      <c r="T57" s="31"/>
      <c r="U57" s="31"/>
      <c r="V57" s="31"/>
      <c r="W57" s="31"/>
      <c r="X57" s="31"/>
      <c r="Y57" s="31"/>
      <c r="Z57" s="31"/>
      <c r="AA57" s="31"/>
    </row>
    <row r="59" spans="2:27" x14ac:dyDescent="0.25">
      <c r="D59" s="29" t="s">
        <v>882</v>
      </c>
      <c r="E59"/>
    </row>
    <row r="61" spans="2:27" ht="45" x14ac:dyDescent="0.25">
      <c r="F61" s="2"/>
      <c r="G61" s="2"/>
      <c r="H61" s="2"/>
      <c r="I61" s="2"/>
      <c r="J61" s="240" t="s">
        <v>893</v>
      </c>
      <c r="K61" s="240" t="s">
        <v>895</v>
      </c>
      <c r="L61" s="240" t="s">
        <v>894</v>
      </c>
      <c r="M61" s="240" t="s">
        <v>896</v>
      </c>
      <c r="N61" s="240" t="s">
        <v>902</v>
      </c>
      <c r="O61" s="240" t="s">
        <v>903</v>
      </c>
      <c r="P61" s="240" t="s">
        <v>904</v>
      </c>
      <c r="Q61" s="240" t="s">
        <v>902</v>
      </c>
      <c r="R61" s="240" t="s">
        <v>903</v>
      </c>
      <c r="S61" s="240" t="s">
        <v>904</v>
      </c>
      <c r="T61" s="240" t="s">
        <v>905</v>
      </c>
      <c r="U61" s="240" t="s">
        <v>897</v>
      </c>
      <c r="V61" s="240" t="s">
        <v>898</v>
      </c>
      <c r="W61" s="240" t="s">
        <v>899</v>
      </c>
      <c r="X61" s="240" t="s">
        <v>900</v>
      </c>
      <c r="Y61" s="240" t="s">
        <v>901</v>
      </c>
    </row>
    <row r="62" spans="2:27" x14ac:dyDescent="0.25">
      <c r="C62" s="239"/>
      <c r="D62"/>
      <c r="E62" s="37" t="s">
        <v>835</v>
      </c>
      <c r="F62" s="37"/>
      <c r="G62" s="86" t="s">
        <v>276</v>
      </c>
      <c r="H62" s="37" t="s">
        <v>837</v>
      </c>
      <c r="I62" s="37"/>
      <c r="J62" s="238">
        <f>'Net revenue summary'!J128</f>
        <v>100.68392017625378</v>
      </c>
      <c r="K62" s="238">
        <f>'Net revenue summary'!K128</f>
        <v>34.888232738206554</v>
      </c>
      <c r="L62" s="238">
        <f>'Net revenue summary'!L128</f>
        <v>465.43767957090228</v>
      </c>
      <c r="M62" s="238">
        <f>'Net revenue summary'!M128</f>
        <v>221.96134368468037</v>
      </c>
      <c r="N62" s="238">
        <f>'Net revenue summary'!N128</f>
        <v>7168.5520506952917</v>
      </c>
      <c r="O62" s="238">
        <f>'Net revenue summary'!O128</f>
        <v>24685.315070093893</v>
      </c>
      <c r="P62" s="238">
        <f>'Net revenue summary'!P128</f>
        <v>61802.352112175802</v>
      </c>
      <c r="Q62" s="238" t="str">
        <f>'Net revenue summary'!Q128</f>
        <v/>
      </c>
      <c r="R62" s="238" t="str">
        <f>'Net revenue summary'!R128</f>
        <v/>
      </c>
      <c r="S62" s="238" t="str">
        <f>'Net revenue summary'!S128</f>
        <v/>
      </c>
      <c r="T62" s="238">
        <f>'Net revenue summary'!T128</f>
        <v>1518.9926959471811</v>
      </c>
      <c r="U62" s="238">
        <f>'Net revenue summary'!U128</f>
        <v>-77.999909975132709</v>
      </c>
      <c r="V62" s="238">
        <f>'Net revenue summary'!V128</f>
        <v>-57.73277344149318</v>
      </c>
      <c r="W62" s="238">
        <f>'Net revenue summary'!W128</f>
        <v>-1196.0325207902247</v>
      </c>
      <c r="X62" s="238">
        <f>'Net revenue summary'!Y128</f>
        <v>-1358.8780393739776</v>
      </c>
      <c r="Y62" s="238">
        <f>'Net revenue summary'!AA128</f>
        <v>-22197.491012965707</v>
      </c>
    </row>
    <row r="63" spans="2:27" x14ac:dyDescent="0.25">
      <c r="C63" s="239"/>
      <c r="D63"/>
      <c r="E63" s="108" t="s">
        <v>840</v>
      </c>
      <c r="F63" s="108"/>
      <c r="G63" s="218" t="s">
        <v>268</v>
      </c>
      <c r="H63" s="318" t="s">
        <v>837</v>
      </c>
      <c r="I63" s="318"/>
      <c r="J63" s="319">
        <f>'Net revenue summary'!J134</f>
        <v>3.2737164398266216</v>
      </c>
      <c r="K63" s="319">
        <f>'Net revenue summary'!K134</f>
        <v>1.2903427527239539</v>
      </c>
      <c r="L63" s="319">
        <f>'Net revenue summary'!L134</f>
        <v>2.6603481944405849</v>
      </c>
      <c r="M63" s="319">
        <f>'Net revenue summary'!M134</f>
        <v>2.0128674036315943</v>
      </c>
      <c r="N63" s="319">
        <f>'Net revenue summary'!N134</f>
        <v>2.7316953808685742</v>
      </c>
      <c r="O63" s="319">
        <f>'Net revenue summary'!O134</f>
        <v>2.4171784513636929</v>
      </c>
      <c r="P63" s="319">
        <f>'Net revenue summary'!P134</f>
        <v>2.2702504373635684</v>
      </c>
      <c r="Q63" s="319" t="str">
        <f>'Net revenue summary'!Q134</f>
        <v/>
      </c>
      <c r="R63" s="319" t="str">
        <f>'Net revenue summary'!R134</f>
        <v/>
      </c>
      <c r="S63" s="319" t="str">
        <f>'Net revenue summary'!S134</f>
        <v/>
      </c>
      <c r="T63" s="319">
        <f>'Net revenue summary'!T134</f>
        <v>2.8947490759960388</v>
      </c>
      <c r="U63" s="319">
        <f>'Net revenue summary'!U134</f>
        <v>-0.89037654413268863</v>
      </c>
      <c r="V63" s="319">
        <f>'Net revenue summary'!V134</f>
        <v>-0.75119085864931601</v>
      </c>
      <c r="W63" s="319">
        <f>'Net revenue summary'!W134</f>
        <v>-0.87336606048404541</v>
      </c>
      <c r="X63" s="319">
        <f>'Net revenue summary'!Y134</f>
        <v>-0.70170001407087867</v>
      </c>
      <c r="Y63" s="319">
        <f>'Net revenue summary'!AA134</f>
        <v>-0.52957607193620326</v>
      </c>
      <c r="Z63" s="271"/>
      <c r="AA63" s="271"/>
    </row>
    <row r="64" spans="2:27" x14ac:dyDescent="0.25">
      <c r="C64" s="239"/>
      <c r="D64"/>
      <c r="E64" s="108" t="s">
        <v>849</v>
      </c>
      <c r="F64" s="108"/>
      <c r="G64" s="108" t="s">
        <v>166</v>
      </c>
      <c r="H64" s="108" t="s">
        <v>837</v>
      </c>
      <c r="I64" s="108"/>
      <c r="J64" s="320">
        <f>'Net revenue summary'!J160</f>
        <v>-3.1103510245565662E-2</v>
      </c>
      <c r="K64" s="320">
        <f>'Net revenue summary'!K160</f>
        <v>-0.18586308983886962</v>
      </c>
      <c r="L64" s="320">
        <f>'Net revenue summary'!L160</f>
        <v>-3.345845768789734E-2</v>
      </c>
      <c r="M64" s="320">
        <f>'Net revenue summary'!M160</f>
        <v>3.2858398231561552E-2</v>
      </c>
      <c r="N64" s="320">
        <f>'Net revenue summary'!N160</f>
        <v>-6.2107548945211533E-2</v>
      </c>
      <c r="O64" s="320">
        <f>'Net revenue summary'!O160</f>
        <v>1.3988603044608125E-2</v>
      </c>
      <c r="P64" s="320">
        <f>'Net revenue summary'!P160</f>
        <v>-5.7066388736711729E-2</v>
      </c>
      <c r="Q64" s="320">
        <f>'Net revenue summary'!Q160</f>
        <v>0</v>
      </c>
      <c r="R64" s="320">
        <f>'Net revenue summary'!R160</f>
        <v>0</v>
      </c>
      <c r="S64" s="320">
        <f>'Net revenue summary'!S160</f>
        <v>0</v>
      </c>
      <c r="T64" s="320">
        <f>'Net revenue summary'!T160</f>
        <v>7.8993626467106254E-2</v>
      </c>
      <c r="U64" s="320">
        <f>'Net revenue summary'!U160</f>
        <v>0.27876752815203787</v>
      </c>
      <c r="V64" s="320">
        <f>'Net revenue summary'!V160</f>
        <v>-0.15226904243868464</v>
      </c>
      <c r="W64" s="320">
        <f>'Net revenue summary'!W160</f>
        <v>0.18824003258669048</v>
      </c>
      <c r="X64" s="320">
        <f>'Net revenue summary'!Y160</f>
        <v>4.3348566033980969E-2</v>
      </c>
      <c r="Y64" s="320">
        <f>'Net revenue summary'!AA160</f>
        <v>0.41833992626225702</v>
      </c>
    </row>
    <row r="65" spans="2:27" x14ac:dyDescent="0.25">
      <c r="C65" s="239"/>
      <c r="D65"/>
      <c r="E65" s="23" t="s">
        <v>850</v>
      </c>
      <c r="F65" s="23"/>
      <c r="G65" s="23" t="s">
        <v>268</v>
      </c>
      <c r="H65" s="269" t="s">
        <v>837</v>
      </c>
      <c r="I65" s="269"/>
      <c r="J65" s="294">
        <f>'Net revenue summary'!J162</f>
        <v>-0.10509282870147592</v>
      </c>
      <c r="K65" s="294">
        <f>'Net revenue summary'!K162</f>
        <v>-0.29457832949129042</v>
      </c>
      <c r="L65" s="294">
        <f>'Net revenue summary'!L162</f>
        <v>-9.2092417761824558E-2</v>
      </c>
      <c r="M65" s="294">
        <f>'Net revenue summary'!M162</f>
        <v>6.4035494942093804E-2</v>
      </c>
      <c r="N65" s="294">
        <f>'Net revenue summary'!N162</f>
        <v>-0.18089377345973795</v>
      </c>
      <c r="O65" s="294">
        <f>'Net revenue summary'!O162</f>
        <v>3.3346479183868884E-2</v>
      </c>
      <c r="P65" s="294">
        <f>'Net revenue summary'!P162</f>
        <v>-0.13739566862476021</v>
      </c>
      <c r="Q65" s="294">
        <f>'Net revenue summary'!Q162</f>
        <v>0</v>
      </c>
      <c r="R65" s="294">
        <f>'Net revenue summary'!R162</f>
        <v>0</v>
      </c>
      <c r="S65" s="294">
        <f>'Net revenue summary'!S162</f>
        <v>0</v>
      </c>
      <c r="T65" s="294">
        <f>'Net revenue summary'!T162</f>
        <v>0.21192592951076444</v>
      </c>
      <c r="U65" s="294">
        <f>'Net revenue summary'!U162</f>
        <v>-0.19409944565226167</v>
      </c>
      <c r="V65" s="294">
        <f>'Net revenue summary'!V162</f>
        <v>0.13492855453134903</v>
      </c>
      <c r="W65" s="294">
        <f>'Net revenue summary'!W162</f>
        <v>-0.13835795056301628</v>
      </c>
      <c r="X65" s="294">
        <f>'Net revenue summary'!Y162</f>
        <v>-2.9153909236317655E-2</v>
      </c>
      <c r="Y65" s="294">
        <f>'Net revenue summary'!AA162</f>
        <v>-0.15619867337999677</v>
      </c>
      <c r="Z65" s="271"/>
      <c r="AA65" s="271"/>
    </row>
    <row r="66" spans="2:27" x14ac:dyDescent="0.25">
      <c r="C66" s="239"/>
    </row>
    <row r="67" spans="2:27" x14ac:dyDescent="0.25">
      <c r="C67" s="31" t="str">
        <f ca="1">INDEX('Version control'!$H$34:$H$57,MATCH($A$1,'Version control'!$F$34:$F$57,0),1)&amp;"-E: Outputs for IDNOs' internal use"</f>
        <v>Output 102-E: Outputs for IDNOs' internal use</v>
      </c>
      <c r="D67" s="31"/>
      <c r="E67" s="31"/>
      <c r="F67" s="31"/>
      <c r="G67" s="31"/>
      <c r="H67" s="31"/>
      <c r="I67" s="31"/>
      <c r="J67" s="31"/>
      <c r="K67" s="31"/>
      <c r="L67" s="31"/>
      <c r="M67" s="31"/>
      <c r="N67" s="31"/>
      <c r="O67" s="31"/>
      <c r="P67" s="31"/>
      <c r="Q67" s="31"/>
      <c r="R67" s="31"/>
      <c r="S67" s="31"/>
      <c r="T67" s="31"/>
      <c r="U67" s="31"/>
      <c r="V67" s="31"/>
      <c r="W67" s="31"/>
      <c r="X67" s="31"/>
      <c r="Y67" s="31"/>
      <c r="Z67" s="31"/>
      <c r="AA67" s="31"/>
    </row>
    <row r="69" spans="2:27" x14ac:dyDescent="0.25">
      <c r="D69" s="29" t="s">
        <v>883</v>
      </c>
      <c r="E69"/>
    </row>
    <row r="70" spans="2:27" x14ac:dyDescent="0.25">
      <c r="D70" s="29" t="s">
        <v>884</v>
      </c>
      <c r="E70"/>
    </row>
    <row r="72" spans="2:27" ht="45" x14ac:dyDescent="0.25">
      <c r="E72"/>
      <c r="J72" s="240" t="s">
        <v>893</v>
      </c>
      <c r="K72" s="240" t="s">
        <v>895</v>
      </c>
      <c r="L72" s="240" t="s">
        <v>894</v>
      </c>
      <c r="M72" s="240" t="s">
        <v>896</v>
      </c>
      <c r="N72" s="240" t="s">
        <v>902</v>
      </c>
      <c r="O72" s="240" t="s">
        <v>903</v>
      </c>
      <c r="P72" s="240" t="s">
        <v>904</v>
      </c>
      <c r="Q72" s="240" t="s">
        <v>902</v>
      </c>
      <c r="R72" s="240" t="s">
        <v>903</v>
      </c>
      <c r="S72" s="240" t="s">
        <v>904</v>
      </c>
      <c r="T72" s="240" t="s">
        <v>905</v>
      </c>
      <c r="U72" s="240" t="s">
        <v>897</v>
      </c>
      <c r="V72" s="240" t="s">
        <v>898</v>
      </c>
      <c r="W72" s="240" t="s">
        <v>899</v>
      </c>
      <c r="X72" s="240" t="s">
        <v>900</v>
      </c>
      <c r="Y72" s="240" t="s">
        <v>901</v>
      </c>
    </row>
    <row r="73" spans="2:27" x14ac:dyDescent="0.25">
      <c r="C73" s="239"/>
      <c r="D73"/>
      <c r="E73" s="23" t="s">
        <v>858</v>
      </c>
      <c r="F73" s="23"/>
      <c r="G73" s="64" t="s">
        <v>166</v>
      </c>
      <c r="H73" s="23" t="s">
        <v>447</v>
      </c>
      <c r="I73" s="23"/>
      <c r="J73" s="321">
        <f>'Net revenue summary'!J194</f>
        <v>0.38775576493270697</v>
      </c>
      <c r="K73" s="321">
        <f>'Net revenue summary'!K194</f>
        <v>0.39060596960909194</v>
      </c>
      <c r="L73" s="321">
        <f>'Net revenue summary'!L194</f>
        <v>0.3901871483159573</v>
      </c>
      <c r="M73" s="321">
        <f>'Net revenue summary'!M194</f>
        <v>0.39078655474703078</v>
      </c>
      <c r="N73" s="321">
        <f>'Net revenue summary'!N194</f>
        <v>0.39076873617111113</v>
      </c>
      <c r="O73" s="165"/>
      <c r="P73" s="165"/>
      <c r="Q73" s="165" t="str">
        <f>'Net revenue summary'!Q194</f>
        <v/>
      </c>
      <c r="R73" s="165"/>
      <c r="S73" s="165"/>
      <c r="T73" s="321">
        <f>'Net revenue summary'!T194</f>
        <v>0.39054063090381952</v>
      </c>
      <c r="U73" s="321">
        <f>'Net revenue summary'!U194</f>
        <v>1.8219065534476376E-16</v>
      </c>
      <c r="V73" s="165"/>
      <c r="W73" s="321">
        <f>'Net revenue summary'!W194</f>
        <v>0</v>
      </c>
      <c r="X73" s="165"/>
      <c r="Y73" s="165"/>
    </row>
    <row r="74" spans="2:27" x14ac:dyDescent="0.25">
      <c r="C74" s="239"/>
      <c r="D74"/>
      <c r="E74" s="37" t="s">
        <v>859</v>
      </c>
      <c r="F74" s="37"/>
      <c r="G74" s="67" t="s">
        <v>166</v>
      </c>
      <c r="H74" s="37" t="s">
        <v>448</v>
      </c>
      <c r="I74" s="37"/>
      <c r="J74" s="322">
        <f>'Net revenue summary'!J195</f>
        <v>0.59944604547337965</v>
      </c>
      <c r="K74" s="322">
        <f>'Net revenue summary'!K195</f>
        <v>0.6034315851933294</v>
      </c>
      <c r="L74" s="322">
        <f>'Net revenue summary'!L195</f>
        <v>0.60289354501864056</v>
      </c>
      <c r="M74" s="322">
        <f>'Net revenue summary'!M195</f>
        <v>0.6037718596889029</v>
      </c>
      <c r="N74" s="322">
        <f>'Net revenue summary'!N195</f>
        <v>0.60356342249518735</v>
      </c>
      <c r="O74" s="322">
        <f>'Net revenue summary'!O195</f>
        <v>0.34825285963817704</v>
      </c>
      <c r="P74" s="322">
        <f>'Net revenue summary'!P195</f>
        <v>0.25200059141389436</v>
      </c>
      <c r="Q74" s="322" t="str">
        <f>'Net revenue summary'!Q195</f>
        <v/>
      </c>
      <c r="R74" s="322" t="str">
        <f>'Net revenue summary'!R195</f>
        <v/>
      </c>
      <c r="S74" s="322" t="str">
        <f>'Net revenue summary'!S195</f>
        <v/>
      </c>
      <c r="T74" s="322">
        <f>'Net revenue summary'!T195</f>
        <v>0.60354494849998519</v>
      </c>
      <c r="U74" s="322">
        <f>'Net revenue summary'!U195</f>
        <v>1.8219065534476376E-16</v>
      </c>
      <c r="V74" s="322">
        <f>'Net revenue summary'!V195</f>
        <v>0</v>
      </c>
      <c r="W74" s="322">
        <f>'Net revenue summary'!W195</f>
        <v>0</v>
      </c>
      <c r="X74" s="322">
        <f>'Net revenue summary'!Y195</f>
        <v>0</v>
      </c>
      <c r="Y74" s="322">
        <f>'Net revenue summary'!AA195</f>
        <v>-1.4909139947694723E-2</v>
      </c>
    </row>
    <row r="76" spans="2:27" x14ac:dyDescent="0.25">
      <c r="B76" s="30" t="s">
        <v>230</v>
      </c>
      <c r="C76" s="30"/>
      <c r="D76" s="30"/>
      <c r="E76" s="30"/>
      <c r="F76" s="30"/>
      <c r="G76" s="30"/>
      <c r="H76" s="30"/>
      <c r="I76" s="30"/>
      <c r="J76" s="30"/>
      <c r="K76" s="30"/>
      <c r="L76" s="104"/>
      <c r="M76" s="104"/>
      <c r="N76" s="104"/>
      <c r="O76" s="104"/>
      <c r="P76" s="104"/>
      <c r="Q76" s="104"/>
      <c r="R76" s="104"/>
      <c r="S76" s="104"/>
      <c r="T76" s="104"/>
      <c r="U76" s="104"/>
      <c r="V76" s="104"/>
      <c r="W76" s="104"/>
      <c r="X76" s="105"/>
      <c r="Y76" s="105"/>
      <c r="Z76" s="105"/>
      <c r="AA76" s="105"/>
    </row>
    <row r="78" spans="2:27" x14ac:dyDescent="0.25">
      <c r="E78" t="s">
        <v>231</v>
      </c>
      <c r="G78" s="6" t="s">
        <v>54</v>
      </c>
      <c r="H78" s="26">
        <f t="array" ref="H78">SUM(IF(ISERROR(H19:Y75), 1))</f>
        <v>0</v>
      </c>
    </row>
    <row r="80" spans="2:27" x14ac:dyDescent="0.25">
      <c r="B80" s="30" t="s">
        <v>105</v>
      </c>
      <c r="C80" s="30"/>
      <c r="D80" s="30"/>
      <c r="E80" s="30"/>
      <c r="F80" s="30"/>
      <c r="G80" s="30"/>
      <c r="H80" s="30"/>
      <c r="I80" s="30"/>
      <c r="J80" s="30"/>
      <c r="K80" s="30"/>
      <c r="L80" s="104"/>
      <c r="M80" s="104"/>
      <c r="N80" s="104"/>
      <c r="O80" s="104"/>
      <c r="P80" s="104"/>
      <c r="Q80" s="104"/>
      <c r="R80" s="104"/>
      <c r="S80" s="104"/>
      <c r="T80" s="104"/>
      <c r="U80" s="104"/>
      <c r="V80" s="104"/>
      <c r="W80" s="104"/>
      <c r="X80" s="105"/>
      <c r="Y80" s="105"/>
      <c r="Z80" s="105"/>
      <c r="AA80" s="105"/>
    </row>
  </sheetData>
  <sheetProtection sheet="1" objects="1" formatCells="0" formatColumns="0" formatRows="0" sort="0" autoFilter="0"/>
  <conditionalFormatting sqref="H78">
    <cfRule type="cellIs" dxfId="1" priority="35" operator="greaterThan">
      <formula>0</formula>
    </cfRule>
  </conditionalFormatting>
  <conditionalFormatting sqref="A4:XFD4">
    <cfRule type="expression" dxfId="0" priority="1">
      <formula>LEFT($A$4,1) &lt;&gt; "0"</formula>
    </cfRule>
  </conditionalFormatting>
  <hyperlinks>
    <hyperlink ref="B5:F5" location="'Model map'!A1" display="Click here to return to model map" xr:uid="{00000000-0004-0000-1C00-000000000000}"/>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6" tint="0.39997558519241921"/>
    <pageSetUpPr fitToPage="1"/>
  </sheetPr>
  <dimension ref="A1:J62"/>
  <sheetViews>
    <sheetView showGridLines="0" zoomScale="80" zoomScaleNormal="80" workbookViewId="0">
      <pane ySplit="3" topLeftCell="A4" activePane="bottomLeft" state="frozen"/>
      <selection pane="bottomLeft"/>
    </sheetView>
  </sheetViews>
  <sheetFormatPr defaultColWidth="0" defaultRowHeight="15" customHeight="1" x14ac:dyDescent="0.25"/>
  <cols>
    <col min="1" max="5" width="2.5703125" style="3" customWidth="1"/>
    <col min="6" max="6" width="30.5703125" style="3" customWidth="1"/>
    <col min="7" max="7" width="2.5703125" style="3" customWidth="1"/>
    <col min="8" max="8" width="25.5703125" style="4" customWidth="1"/>
    <col min="9" max="9" width="125.42578125" style="4" customWidth="1"/>
    <col min="10" max="10" width="2.5703125" style="3" customWidth="1"/>
    <col min="11" max="16384" width="9.28515625" style="3" hidden="1"/>
  </cols>
  <sheetData>
    <row r="1" spans="1:9" s="1" customFormat="1" x14ac:dyDescent="0.25">
      <c r="A1" s="1" t="str">
        <f ca="1">MID(CELL("filename",A1),FIND("]",CELL("filename",A1))+1,255)</f>
        <v>Model map</v>
      </c>
    </row>
    <row r="2" spans="1:9" s="1" customFormat="1" x14ac:dyDescent="0.25">
      <c r="A2" s="1" t="str">
        <f>Cover!D21&amp;" - "&amp;Cover!D23</f>
        <v>SP Distribution - Two</v>
      </c>
    </row>
    <row r="3" spans="1:9" s="5" customFormat="1" x14ac:dyDescent="0.25">
      <c r="A3" s="5" t="str">
        <f>Cover!D2&amp;" - "&amp;Cover!D8&amp;" v"&amp;Cover!D10&amp;" - "&amp;Cover!D19</f>
        <v>CDCM charging model - Release for charge setting v6 - 2021/22</v>
      </c>
    </row>
    <row r="5" spans="1:9" customFormat="1" x14ac:dyDescent="0.25">
      <c r="A5" s="9"/>
      <c r="B5" s="41" t="s">
        <v>106</v>
      </c>
      <c r="C5" s="41"/>
      <c r="D5" s="41"/>
      <c r="E5" s="41"/>
      <c r="F5" s="41"/>
      <c r="G5" s="41"/>
      <c r="H5" s="41"/>
      <c r="I5" s="41"/>
    </row>
    <row r="7" spans="1:9" ht="15" customHeight="1" x14ac:dyDescent="0.25">
      <c r="F7" s="55"/>
      <c r="G7" s="55"/>
      <c r="H7" s="56"/>
      <c r="I7" s="56"/>
    </row>
    <row r="8" spans="1:9" ht="15" customHeight="1" x14ac:dyDescent="0.25">
      <c r="F8" s="55"/>
      <c r="G8" s="55"/>
    </row>
    <row r="9" spans="1:9" ht="15" customHeight="1" x14ac:dyDescent="0.25">
      <c r="F9" s="55"/>
      <c r="G9" s="55"/>
      <c r="H9" s="55"/>
      <c r="I9" s="55"/>
    </row>
    <row r="10" spans="1:9" ht="15" customHeight="1" x14ac:dyDescent="0.25">
      <c r="F10" s="55"/>
      <c r="G10" s="55"/>
      <c r="H10" s="55"/>
      <c r="I10" s="55"/>
    </row>
    <row r="11" spans="1:9" ht="15" customHeight="1" x14ac:dyDescent="0.25">
      <c r="F11" s="55"/>
      <c r="G11" s="55"/>
      <c r="H11" s="55"/>
      <c r="I11" s="3"/>
    </row>
    <row r="12" spans="1:9" ht="15" customHeight="1" x14ac:dyDescent="0.25">
      <c r="F12" s="55"/>
      <c r="H12" s="55"/>
      <c r="I12" s="3"/>
    </row>
    <row r="13" spans="1:9" ht="15" customHeight="1" x14ac:dyDescent="0.25">
      <c r="F13" s="55"/>
      <c r="H13" s="55"/>
      <c r="I13" s="3"/>
    </row>
    <row r="14" spans="1:9" ht="15" customHeight="1" x14ac:dyDescent="0.25">
      <c r="F14" s="55"/>
      <c r="H14" s="55"/>
      <c r="I14" s="3"/>
    </row>
    <row r="15" spans="1:9" x14ac:dyDescent="0.25">
      <c r="F15" s="57"/>
      <c r="G15" s="57"/>
      <c r="H15" s="57"/>
      <c r="I15" s="57"/>
    </row>
    <row r="16" spans="1:9" ht="15" customHeight="1" x14ac:dyDescent="0.25">
      <c r="H16" s="57"/>
      <c r="I16" s="57"/>
    </row>
    <row r="17" spans="6:9" ht="15" customHeight="1" x14ac:dyDescent="0.25">
      <c r="H17" s="57"/>
      <c r="I17" s="57"/>
    </row>
    <row r="18" spans="6:9" ht="15" customHeight="1" x14ac:dyDescent="0.25">
      <c r="H18" s="57"/>
      <c r="I18" s="57"/>
    </row>
    <row r="19" spans="6:9" ht="15" customHeight="1" x14ac:dyDescent="0.25">
      <c r="F19" s="57"/>
      <c r="G19" s="57"/>
      <c r="H19" s="57"/>
      <c r="I19" s="57"/>
    </row>
    <row r="20" spans="6:9" ht="15" customHeight="1" x14ac:dyDescent="0.25">
      <c r="F20" s="57"/>
      <c r="G20" s="57"/>
      <c r="H20" s="57"/>
      <c r="I20" s="57"/>
    </row>
    <row r="21" spans="6:9" ht="15" customHeight="1" x14ac:dyDescent="0.25">
      <c r="F21" s="57"/>
      <c r="G21" s="57"/>
      <c r="H21" s="57"/>
      <c r="I21" s="57"/>
    </row>
    <row r="22" spans="6:9" ht="15" customHeight="1" x14ac:dyDescent="0.25">
      <c r="F22" s="57"/>
      <c r="G22" s="57"/>
      <c r="H22" s="57"/>
      <c r="I22" s="57"/>
    </row>
    <row r="23" spans="6:9" ht="15" customHeight="1" x14ac:dyDescent="0.25">
      <c r="F23" s="57"/>
      <c r="G23" s="57"/>
      <c r="H23" s="57"/>
      <c r="I23" s="57"/>
    </row>
    <row r="24" spans="6:9" ht="15" customHeight="1" x14ac:dyDescent="0.25">
      <c r="F24" s="57"/>
      <c r="G24" s="57"/>
      <c r="H24" s="57"/>
      <c r="I24" s="57"/>
    </row>
    <row r="25" spans="6:9" ht="15" customHeight="1" x14ac:dyDescent="0.25">
      <c r="F25" s="57"/>
      <c r="G25" s="57"/>
      <c r="H25" s="57"/>
      <c r="I25" s="57"/>
    </row>
    <row r="26" spans="6:9" ht="15" customHeight="1" x14ac:dyDescent="0.25">
      <c r="F26" s="57"/>
      <c r="G26" s="57"/>
      <c r="H26" s="57"/>
      <c r="I26" s="57"/>
    </row>
    <row r="27" spans="6:9" ht="15" customHeight="1" x14ac:dyDescent="0.25">
      <c r="F27" s="57"/>
      <c r="G27" s="57"/>
      <c r="H27" s="57"/>
      <c r="I27" s="57"/>
    </row>
    <row r="28" spans="6:9" ht="15" customHeight="1" x14ac:dyDescent="0.25">
      <c r="F28" s="57"/>
      <c r="G28" s="57"/>
      <c r="H28" s="57"/>
      <c r="I28" s="57"/>
    </row>
    <row r="29" spans="6:9" ht="15" customHeight="1" x14ac:dyDescent="0.25">
      <c r="F29" s="57"/>
      <c r="G29" s="57"/>
      <c r="H29" s="57"/>
      <c r="I29" s="57"/>
    </row>
    <row r="30" spans="6:9" ht="15" customHeight="1" x14ac:dyDescent="0.25">
      <c r="F30" s="57"/>
      <c r="G30" s="57"/>
      <c r="H30" s="57"/>
      <c r="I30" s="57"/>
    </row>
    <row r="31" spans="6:9" ht="15" customHeight="1" x14ac:dyDescent="0.25">
      <c r="F31" s="57"/>
      <c r="G31" s="57"/>
      <c r="H31" s="57"/>
      <c r="I31" s="57"/>
    </row>
    <row r="32" spans="6:9" ht="15" customHeight="1" x14ac:dyDescent="0.25">
      <c r="F32" s="57"/>
      <c r="G32" s="57"/>
      <c r="H32" s="57"/>
      <c r="I32" s="57"/>
    </row>
    <row r="33" spans="6:9" ht="15" customHeight="1" x14ac:dyDescent="0.25">
      <c r="F33" s="57"/>
      <c r="G33" s="57"/>
      <c r="H33" s="57"/>
      <c r="I33" s="57"/>
    </row>
    <row r="34" spans="6:9" customFormat="1" x14ac:dyDescent="0.25">
      <c r="F34" s="57"/>
      <c r="G34" s="57"/>
      <c r="H34" s="57"/>
      <c r="I34" s="57"/>
    </row>
    <row r="35" spans="6:9" customFormat="1" x14ac:dyDescent="0.25">
      <c r="F35" s="57"/>
      <c r="G35" s="57"/>
      <c r="H35" s="57"/>
      <c r="I35" s="57"/>
    </row>
    <row r="36" spans="6:9" customFormat="1" x14ac:dyDescent="0.25">
      <c r="F36" s="57"/>
      <c r="G36" s="57"/>
      <c r="H36" s="57"/>
      <c r="I36" s="57"/>
    </row>
    <row r="37" spans="6:9" customFormat="1" x14ac:dyDescent="0.25">
      <c r="F37" s="57"/>
      <c r="G37" s="57"/>
      <c r="H37" s="57"/>
      <c r="I37" s="57"/>
    </row>
    <row r="38" spans="6:9" customFormat="1" x14ac:dyDescent="0.25">
      <c r="F38" s="57"/>
      <c r="G38" s="57"/>
      <c r="H38" s="57"/>
      <c r="I38" s="57"/>
    </row>
    <row r="39" spans="6:9" customFormat="1" x14ac:dyDescent="0.25">
      <c r="F39" s="57"/>
      <c r="G39" s="57"/>
      <c r="H39" s="57"/>
      <c r="I39" s="57"/>
    </row>
    <row r="40" spans="6:9" customFormat="1" x14ac:dyDescent="0.25">
      <c r="F40" s="57"/>
      <c r="G40" s="57"/>
      <c r="H40" s="57"/>
      <c r="I40" s="57"/>
    </row>
    <row r="41" spans="6:9" ht="15" customHeight="1" x14ac:dyDescent="0.25">
      <c r="F41" s="57"/>
      <c r="G41" s="57"/>
      <c r="H41" s="57"/>
      <c r="I41" s="57"/>
    </row>
    <row r="42" spans="6:9" ht="15" customHeight="1" x14ac:dyDescent="0.25">
      <c r="F42" s="57"/>
      <c r="G42" s="57"/>
      <c r="H42" s="57"/>
      <c r="I42" s="57"/>
    </row>
    <row r="43" spans="6:9" ht="15" customHeight="1" x14ac:dyDescent="0.25">
      <c r="F43" s="57"/>
      <c r="G43" s="57"/>
      <c r="H43" s="57"/>
      <c r="I43" s="57"/>
    </row>
    <row r="44" spans="6:9" ht="15" customHeight="1" x14ac:dyDescent="0.25">
      <c r="F44" s="57"/>
      <c r="G44" s="57"/>
      <c r="H44" s="57"/>
      <c r="I44" s="57"/>
    </row>
    <row r="45" spans="6:9" ht="15" customHeight="1" x14ac:dyDescent="0.25">
      <c r="F45" s="57"/>
      <c r="G45" s="57"/>
      <c r="H45" s="57"/>
      <c r="I45" s="57"/>
    </row>
    <row r="46" spans="6:9" ht="15" customHeight="1" x14ac:dyDescent="0.25">
      <c r="F46" s="57"/>
      <c r="G46" s="57"/>
      <c r="H46" s="57"/>
      <c r="I46" s="57"/>
    </row>
    <row r="47" spans="6:9" ht="15" customHeight="1" x14ac:dyDescent="0.25">
      <c r="F47" s="39"/>
      <c r="H47" s="3"/>
      <c r="I47" s="3"/>
    </row>
    <row r="51" spans="1:10" customFormat="1" x14ac:dyDescent="0.25">
      <c r="A51" s="9"/>
      <c r="B51" s="9"/>
      <c r="C51" s="9"/>
      <c r="D51" s="9"/>
      <c r="E51" s="9"/>
      <c r="F51" s="9"/>
      <c r="G51" s="9"/>
      <c r="H51" s="9"/>
      <c r="I51" s="9"/>
      <c r="J51" s="9"/>
    </row>
    <row r="62" spans="1:10" ht="15" customHeight="1" x14ac:dyDescent="0.25">
      <c r="A62" s="41" t="s">
        <v>105</v>
      </c>
      <c r="B62" s="41"/>
      <c r="C62" s="41"/>
      <c r="D62" s="41"/>
      <c r="E62" s="41"/>
      <c r="F62" s="41"/>
      <c r="G62" s="41"/>
      <c r="H62" s="41"/>
      <c r="I62" s="41"/>
    </row>
  </sheetData>
  <sheetProtection sheet="1" objects="1" formatCells="0" formatColumns="0" formatRows="0" sort="0" autoFilter="0"/>
  <pageMargins left="0.23622047244094491" right="0.23622047244094491" top="0.74803149606299213" bottom="0.74803149606299213" header="0.31496062992125984" footer="0.31496062992125984"/>
  <pageSetup paperSize="9" scale="88" fitToHeight="0" orientation="portrait" r:id="rId1"/>
  <headerFooter>
    <oddFooter>&amp;L&amp;Z&amp;F&amp;C&amp;D&amp;R&amp;P of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6" tint="0.39997558519241921"/>
  </sheetPr>
  <dimension ref="A1:U215"/>
  <sheetViews>
    <sheetView showGridLines="0" zoomScale="80" zoomScaleNormal="80" workbookViewId="0">
      <pane ySplit="3" topLeftCell="A4" activePane="bottomLeft" state="frozen"/>
      <selection pane="bottomLeft"/>
    </sheetView>
  </sheetViews>
  <sheetFormatPr defaultColWidth="0" defaultRowHeight="15" x14ac:dyDescent="0.25"/>
  <cols>
    <col min="1" max="5" width="2.5703125" customWidth="1"/>
    <col min="6" max="6" width="27.85546875" bestFit="1" customWidth="1"/>
    <col min="7" max="7" width="134.42578125" bestFit="1" customWidth="1"/>
    <col min="8" max="8" width="2.5703125" customWidth="1"/>
    <col min="9" max="9" width="59.5703125" hidden="1" customWidth="1"/>
    <col min="10" max="20" width="15.42578125" hidden="1" customWidth="1"/>
    <col min="21" max="21" width="2.5703125" hidden="1" customWidth="1"/>
    <col min="22" max="16384" width="9.28515625" hidden="1"/>
  </cols>
  <sheetData>
    <row r="1" spans="1:7" s="1" customFormat="1" x14ac:dyDescent="0.25">
      <c r="A1" s="1" t="str">
        <f ca="1">MID(CELL("filename",A1),FIND("]",CELL("filename",A1))+1,255)</f>
        <v>Index</v>
      </c>
    </row>
    <row r="2" spans="1:7" s="1" customFormat="1" x14ac:dyDescent="0.25">
      <c r="A2" s="1" t="str">
        <f>Cover!D21&amp;" - "&amp;Cover!D23</f>
        <v>SP Distribution - Two</v>
      </c>
    </row>
    <row r="3" spans="1:7" s="5" customFormat="1" x14ac:dyDescent="0.25">
      <c r="A3" s="5" t="str">
        <f>Cover!D2&amp;" - "&amp;Cover!D8&amp;" v"&amp;Cover!D10&amp;" - "&amp;Cover!D19</f>
        <v>CDCM charging model - Release for charge setting v6 - 2021/22</v>
      </c>
    </row>
    <row r="5" spans="1:7" x14ac:dyDescent="0.25">
      <c r="B5" s="30" t="s">
        <v>9</v>
      </c>
      <c r="C5" s="30"/>
      <c r="D5" s="30"/>
      <c r="E5" s="30"/>
      <c r="F5" s="30"/>
      <c r="G5" s="30"/>
    </row>
    <row r="7" spans="1:7" x14ac:dyDescent="0.25">
      <c r="C7" s="29" t="s">
        <v>107</v>
      </c>
    </row>
    <row r="8" spans="1:7" x14ac:dyDescent="0.25">
      <c r="C8" s="29" t="s">
        <v>108</v>
      </c>
    </row>
    <row r="10" spans="1:7" x14ac:dyDescent="0.25">
      <c r="B10" s="30" t="s">
        <v>109</v>
      </c>
      <c r="C10" s="30"/>
      <c r="D10" s="30"/>
      <c r="E10" s="30"/>
      <c r="F10" s="30"/>
      <c r="G10" s="30"/>
    </row>
    <row r="12" spans="1:7" x14ac:dyDescent="0.25">
      <c r="C12" s="29" t="s">
        <v>110</v>
      </c>
    </row>
    <row r="14" spans="1:7" ht="15.75" thickBot="1" x14ac:dyDescent="0.3">
      <c r="F14" s="333" t="s">
        <v>111</v>
      </c>
      <c r="G14" s="297" t="s">
        <v>112</v>
      </c>
    </row>
    <row r="15" spans="1:7" ht="16.5" thickTop="1" thickBot="1" x14ac:dyDescent="0.3">
      <c r="F15" s="299" t="s">
        <v>113</v>
      </c>
    </row>
    <row r="16" spans="1:7" ht="15.75" thickTop="1" x14ac:dyDescent="0.25">
      <c r="F16" s="299" t="s">
        <v>114</v>
      </c>
      <c r="G16" s="58" t="str">
        <f>'Version control'!$B$5</f>
        <v>Model version</v>
      </c>
    </row>
    <row r="17" spans="6:7" x14ac:dyDescent="0.25">
      <c r="F17" s="298" t="s">
        <v>115</v>
      </c>
      <c r="G17" s="58" t="str">
        <f>'Version control'!$B$17</f>
        <v>Version log</v>
      </c>
    </row>
    <row r="18" spans="6:7" x14ac:dyDescent="0.25">
      <c r="F18" s="298" t="s">
        <v>115</v>
      </c>
      <c r="G18" s="58" t="str">
        <f>'Version control'!$B$31</f>
        <v>Model checks</v>
      </c>
    </row>
    <row r="19" spans="6:7" ht="15.75" thickBot="1" x14ac:dyDescent="0.3">
      <c r="F19" s="298" t="s">
        <v>115</v>
      </c>
      <c r="G19" s="58" t="str">
        <f>'Version control'!$B$60</f>
        <v>Version log lists</v>
      </c>
    </row>
    <row r="20" spans="6:7" ht="16.5" thickTop="1" thickBot="1" x14ac:dyDescent="0.3">
      <c r="F20" s="299" t="s">
        <v>106</v>
      </c>
      <c r="G20" s="58" t="str">
        <f>'Model map'!$B$5</f>
        <v>Model map</v>
      </c>
    </row>
    <row r="21" spans="6:7" ht="16.5" thickTop="1" thickBot="1" x14ac:dyDescent="0.3">
      <c r="F21" s="299" t="s">
        <v>116</v>
      </c>
      <c r="G21" s="58" t="str">
        <f>'Named ranges'!$B$5</f>
        <v>List of named ranges</v>
      </c>
    </row>
    <row r="22" spans="6:7" ht="16.5" thickTop="1" thickBot="1" x14ac:dyDescent="0.3">
      <c r="F22" s="301" t="s">
        <v>52</v>
      </c>
      <c r="G22" s="58" t="str">
        <f>'Fixed inputs'!$B$11</f>
        <v>Fixed inputs</v>
      </c>
    </row>
    <row r="23" spans="6:7" ht="16.5" thickTop="1" thickBot="1" x14ac:dyDescent="0.3">
      <c r="F23" s="301" t="s">
        <v>55</v>
      </c>
      <c r="G23" s="58" t="str">
        <f>'Inputs by customer type'!$B$11</f>
        <v>Inputs by customer type</v>
      </c>
    </row>
    <row r="24" spans="6:7" ht="16.5" thickTop="1" thickBot="1" x14ac:dyDescent="0.3">
      <c r="F24" s="301" t="s">
        <v>57</v>
      </c>
      <c r="G24" s="58" t="str">
        <f>'Inputs by network level'!$B$11</f>
        <v>Inputs by network level</v>
      </c>
    </row>
    <row r="25" spans="6:7" ht="16.5" thickTop="1" thickBot="1" x14ac:dyDescent="0.3">
      <c r="F25" s="301" t="s">
        <v>59</v>
      </c>
      <c r="G25" s="58" t="str">
        <f>'General inputs'!$B$11</f>
        <v>General inputs</v>
      </c>
    </row>
    <row r="26" spans="6:7" ht="16.5" thickTop="1" thickBot="1" x14ac:dyDescent="0.3">
      <c r="F26" s="303" t="s">
        <v>119</v>
      </c>
      <c r="G26" s="58" t="str">
        <f>'Standing charge factors'!$B$17</f>
        <v>Adjustments to standing charges</v>
      </c>
    </row>
    <row r="27" spans="6:7" ht="15.75" thickTop="1" x14ac:dyDescent="0.25">
      <c r="F27" s="303" t="s">
        <v>63</v>
      </c>
      <c r="G27" s="58" t="str">
        <f>'Load &amp; loss characteristics'!$B$13</f>
        <v>Load and loss characteristics</v>
      </c>
    </row>
    <row r="28" spans="6:7" ht="15.75" thickBot="1" x14ac:dyDescent="0.3">
      <c r="F28" s="302" t="s">
        <v>115</v>
      </c>
      <c r="G28" s="58" t="str">
        <f>'Load &amp; loss characteristics'!$B$31</f>
        <v>User loss factor adjustments</v>
      </c>
    </row>
    <row r="29" spans="6:7" ht="16.5" thickTop="1" thickBot="1" x14ac:dyDescent="0.3">
      <c r="F29" s="303" t="s">
        <v>65</v>
      </c>
      <c r="G29" s="58" t="str">
        <f>'Customer contributions'!$B$12</f>
        <v>Customer contributions</v>
      </c>
    </row>
    <row r="30" spans="6:7" ht="15.75" thickTop="1" x14ac:dyDescent="0.25">
      <c r="F30" s="303" t="s">
        <v>67</v>
      </c>
      <c r="G30" s="58" t="str">
        <f>'Volume adjustments'!$B$13</f>
        <v>LDNO discounts</v>
      </c>
    </row>
    <row r="31" spans="6:7" ht="15.75" thickBot="1" x14ac:dyDescent="0.3">
      <c r="F31" s="302" t="s">
        <v>115</v>
      </c>
      <c r="G31" s="58" t="str">
        <f>'Volume adjustments'!$B$51</f>
        <v>Volume discounting</v>
      </c>
    </row>
    <row r="32" spans="6:7" ht="15.75" thickTop="1" x14ac:dyDescent="0.25">
      <c r="F32" s="303" t="s">
        <v>69</v>
      </c>
      <c r="G32" s="58" t="str">
        <f>'Pseudo-load coefficients'!$B$13</f>
        <v>Step 1: Ratio of coincidence to load factor assuming units evenly spread within time bands, and peak falls in Red period</v>
      </c>
    </row>
    <row r="33" spans="6:7" x14ac:dyDescent="0.25">
      <c r="F33" s="302" t="s">
        <v>115</v>
      </c>
      <c r="G33" s="58" t="str">
        <f>'Pseudo-load coefficients'!$B$56</f>
        <v>Step 2: Calculate correction factor</v>
      </c>
    </row>
    <row r="34" spans="6:7" x14ac:dyDescent="0.25">
      <c r="F34" s="302" t="s">
        <v>115</v>
      </c>
      <c r="G34" s="58" t="str">
        <f>'Pseudo-load coefficients'!$B$95</f>
        <v>Step 3: Ratio of coincidence factor (to network asset peak) to load factor, given peaking probabilities, multiplied by correction factor</v>
      </c>
    </row>
    <row r="35" spans="6:7" ht="15.75" thickBot="1" x14ac:dyDescent="0.3">
      <c r="F35" s="302" t="s">
        <v>115</v>
      </c>
      <c r="G35" s="58" t="str">
        <f>'Pseudo-load coefficients'!$B$261</f>
        <v>Step 4: Results of Step 3</v>
      </c>
    </row>
    <row r="36" spans="6:7" ht="15.75" thickTop="1" x14ac:dyDescent="0.25">
      <c r="F36" s="303" t="s">
        <v>71</v>
      </c>
      <c r="G36" s="58" t="str">
        <f>'System peak demand'!$B$16</f>
        <v>Common inputs for chargeable load calculations</v>
      </c>
    </row>
    <row r="37" spans="6:7" x14ac:dyDescent="0.25">
      <c r="F37" s="302" t="s">
        <v>115</v>
      </c>
      <c r="G37" s="58" t="str">
        <f>'System peak demand'!$B$63</f>
        <v>Load at system peak charged to unit rates</v>
      </c>
    </row>
    <row r="38" spans="6:7" x14ac:dyDescent="0.25">
      <c r="F38" s="302" t="s">
        <v>115</v>
      </c>
      <c r="G38" s="58" t="str">
        <f>'System peak demand'!$B$179</f>
        <v>Load at system peak charged to standing charges</v>
      </c>
    </row>
    <row r="39" spans="6:7" ht="15.75" thickBot="1" x14ac:dyDescent="0.3">
      <c r="F39" s="302" t="s">
        <v>115</v>
      </c>
      <c r="G39" s="58" t="str">
        <f>'System peak demand'!$B$262</f>
        <v>System peak based on chargeable load</v>
      </c>
    </row>
    <row r="40" spans="6:7" ht="16.5" thickTop="1" thickBot="1" x14ac:dyDescent="0.3">
      <c r="F40" s="303" t="s">
        <v>73</v>
      </c>
      <c r="G40" s="58" t="str">
        <f>'Service model assets'!$B$12</f>
        <v>Service model notional asset values</v>
      </c>
    </row>
    <row r="41" spans="6:7" ht="15.75" thickTop="1" x14ac:dyDescent="0.25">
      <c r="F41" s="303" t="s">
        <v>75</v>
      </c>
      <c r="G41" s="58" t="str">
        <f>'Unit costs'!$B$15</f>
        <v>500MW model costs</v>
      </c>
    </row>
    <row r="42" spans="6:7" x14ac:dyDescent="0.25">
      <c r="F42" s="302" t="s">
        <v>115</v>
      </c>
      <c r="G42" s="58" t="str">
        <f>'Unit costs'!$B$58</f>
        <v>Allocation of other costs</v>
      </c>
    </row>
    <row r="43" spans="6:7" ht="15.75" thickBot="1" x14ac:dyDescent="0.3">
      <c r="F43" s="302" t="s">
        <v>115</v>
      </c>
      <c r="G43" s="58" t="str">
        <f>'Unit costs'!$B$102</f>
        <v>Outputs</v>
      </c>
    </row>
    <row r="44" spans="6:7" ht="15.75" thickTop="1" x14ac:dyDescent="0.25">
      <c r="F44" s="303" t="s">
        <v>77</v>
      </c>
      <c r="G44" s="58" t="str">
        <f>'Initial unit rates'!$B$11</f>
        <v>Inputs for yardstick and unit rate calculations</v>
      </c>
    </row>
    <row r="45" spans="6:7" ht="15.75" thickBot="1" x14ac:dyDescent="0.3">
      <c r="F45" s="302" t="s">
        <v>115</v>
      </c>
      <c r="G45" s="58" t="str">
        <f>'Initial unit rates'!$B$116</f>
        <v>Calculation of yardstick &amp; unit rate charges</v>
      </c>
    </row>
    <row r="46" spans="6:7" ht="15.75" thickTop="1" x14ac:dyDescent="0.25">
      <c r="F46" s="303" t="s">
        <v>79</v>
      </c>
      <c r="G46" s="58" t="str">
        <f>'Service model charges'!$B$13</f>
        <v>Inputs to service model charge calculation</v>
      </c>
    </row>
    <row r="47" spans="6:7" ht="15.75" thickBot="1" x14ac:dyDescent="0.3">
      <c r="F47" s="302" t="s">
        <v>115</v>
      </c>
      <c r="G47" s="58" t="str">
        <f>'Service model charges'!$B$29</f>
        <v>Allocation of service model costs</v>
      </c>
    </row>
    <row r="48" spans="6:7" ht="15.75" thickTop="1" x14ac:dyDescent="0.25">
      <c r="F48" s="303" t="s">
        <v>81</v>
      </c>
      <c r="G48" s="58" t="str">
        <f>'Unit rate charges'!$B$15</f>
        <v>Inputs to unit rate charge calculations</v>
      </c>
    </row>
    <row r="49" spans="6:7" ht="15.75" thickBot="1" x14ac:dyDescent="0.3">
      <c r="F49" s="302" t="s">
        <v>115</v>
      </c>
      <c r="G49" s="58" t="str">
        <f>'Unit rate charges'!$B$122</f>
        <v>Application of standing charges to unit rates</v>
      </c>
    </row>
    <row r="50" spans="6:7" ht="15.75" thickTop="1" x14ac:dyDescent="0.25">
      <c r="F50" s="303" t="s">
        <v>83</v>
      </c>
      <c r="G50" s="58" t="str">
        <f>'Reactive power charges'!$B$13</f>
        <v>Inputs to reactive power charge calculations</v>
      </c>
    </row>
    <row r="51" spans="6:7" x14ac:dyDescent="0.25">
      <c r="F51" s="302" t="s">
        <v>115</v>
      </c>
      <c r="G51" s="58" t="str">
        <f>'Reactive power charges'!$B$150</f>
        <v>Calculation of yardstick charges for generation</v>
      </c>
    </row>
    <row r="52" spans="6:7" ht="15.75" thickBot="1" x14ac:dyDescent="0.3">
      <c r="F52" s="302" t="s">
        <v>115</v>
      </c>
      <c r="G52" s="58" t="str">
        <f>'Reactive power charges'!$B$185</f>
        <v>Calculation of reactive power charges</v>
      </c>
    </row>
    <row r="53" spans="6:7" ht="15.75" thickTop="1" x14ac:dyDescent="0.25">
      <c r="F53" s="303" t="s">
        <v>85</v>
      </c>
      <c r="G53" s="58" t="str">
        <f>'Capacity charges'!$B$17</f>
        <v>Inputs to capacity charge calculations</v>
      </c>
    </row>
    <row r="54" spans="6:7" x14ac:dyDescent="0.25">
      <c r="F54" s="302" t="s">
        <v>115</v>
      </c>
      <c r="G54" s="58" t="str">
        <f>'Capacity charges'!$B$125</f>
        <v>Calculation of capacity charges</v>
      </c>
    </row>
    <row r="55" spans="6:7" ht="15.75" thickBot="1" x14ac:dyDescent="0.3">
      <c r="F55" s="302" t="s">
        <v>115</v>
      </c>
      <c r="G55" s="58" t="str">
        <f>'Capacity charges'!$B$249</f>
        <v>Capacity charges (and elements allocated to fixed charges)</v>
      </c>
    </row>
    <row r="56" spans="6:7" ht="15.75" thickTop="1" x14ac:dyDescent="0.25">
      <c r="F56" s="303" t="s">
        <v>87</v>
      </c>
      <c r="G56" s="58" t="str">
        <f>'Fixed charges'!$B$14</f>
        <v>Inputs to fixed charge calculations</v>
      </c>
    </row>
    <row r="57" spans="6:7" ht="15.75" thickBot="1" x14ac:dyDescent="0.3">
      <c r="F57" s="302" t="s">
        <v>115</v>
      </c>
      <c r="G57" s="58" t="str">
        <f>'Fixed charges'!$B$65</f>
        <v>Calculation of fixed charges</v>
      </c>
    </row>
    <row r="58" spans="6:7" ht="15.75" thickTop="1" x14ac:dyDescent="0.25">
      <c r="F58" s="303" t="s">
        <v>89</v>
      </c>
      <c r="G58" s="58" t="str">
        <f>'Revenue matching'!$B$13</f>
        <v>Pre-matching net revenue calculations</v>
      </c>
    </row>
    <row r="59" spans="6:7" ht="15.75" thickBot="1" x14ac:dyDescent="0.3">
      <c r="F59" s="302" t="s">
        <v>115</v>
      </c>
      <c r="G59" s="58" t="str">
        <f>'Revenue matching'!$B$62</f>
        <v>Adder calculation</v>
      </c>
    </row>
    <row r="60" spans="6:7" ht="16.5" thickTop="1" thickBot="1" x14ac:dyDescent="0.3">
      <c r="F60" s="303" t="s">
        <v>999</v>
      </c>
      <c r="G60" s="58" t="str">
        <f>'Fixed charge adder'!$B$12</f>
        <v>Fixed tariff adjustments</v>
      </c>
    </row>
    <row r="61" spans="6:7" ht="15.75" thickTop="1" x14ac:dyDescent="0.25">
      <c r="F61" s="303" t="s">
        <v>91</v>
      </c>
      <c r="G61" s="58" t="str">
        <f>Rounding!$B$12</f>
        <v>Inputs</v>
      </c>
    </row>
    <row r="62" spans="6:7" ht="15.75" thickBot="1" x14ac:dyDescent="0.3">
      <c r="F62" s="302" t="s">
        <v>115</v>
      </c>
      <c r="G62" s="58" t="str">
        <f>Rounding!$B$83</f>
        <v>Rounding of tariff forecast</v>
      </c>
    </row>
    <row r="63" spans="6:7" ht="15.75" thickTop="1" x14ac:dyDescent="0.25">
      <c r="F63" s="303" t="s">
        <v>93</v>
      </c>
      <c r="G63" s="58" t="str">
        <f>'Net revenue summary'!$B$11</f>
        <v>Inputs to net revenue summary calculation</v>
      </c>
    </row>
    <row r="64" spans="6:7" x14ac:dyDescent="0.25">
      <c r="F64" s="302" t="s">
        <v>115</v>
      </c>
      <c r="G64" s="58" t="str">
        <f>'Net revenue summary'!$B$79</f>
        <v>Typical bills</v>
      </c>
    </row>
    <row r="65" spans="2:7" x14ac:dyDescent="0.25">
      <c r="F65" s="302" t="s">
        <v>115</v>
      </c>
      <c r="G65" s="58" t="str">
        <f>'Net revenue summary'!$B$138</f>
        <v>Comparison with previous year</v>
      </c>
    </row>
    <row r="66" spans="2:7" ht="15.75" thickBot="1" x14ac:dyDescent="0.3">
      <c r="F66" s="302" t="s">
        <v>115</v>
      </c>
      <c r="G66" s="58" t="str">
        <f>'Net revenue summary'!$B$164</f>
        <v>LDNO margins</v>
      </c>
    </row>
    <row r="67" spans="2:7" ht="16.5" thickTop="1" thickBot="1" x14ac:dyDescent="0.3">
      <c r="F67" s="305" t="s">
        <v>95</v>
      </c>
      <c r="G67" s="58" t="str">
        <f>'Tariff summary'!$B$11</f>
        <v>Tariff summary</v>
      </c>
    </row>
    <row r="68" spans="2:7" ht="15.75" thickTop="1" x14ac:dyDescent="0.25">
      <c r="F68" s="305" t="s">
        <v>97</v>
      </c>
      <c r="G68" s="58" t="str">
        <f>'Output to other models'!$B$12</f>
        <v>Outputs for PCDM</v>
      </c>
    </row>
    <row r="69" spans="2:7" x14ac:dyDescent="0.25">
      <c r="F69" s="304" t="s">
        <v>115</v>
      </c>
      <c r="G69" s="58" t="str">
        <f>'Output to other models'!$B$25</f>
        <v>Outputs for EDCM</v>
      </c>
    </row>
    <row r="70" spans="2:7" x14ac:dyDescent="0.25">
      <c r="F70" s="304" t="s">
        <v>115</v>
      </c>
      <c r="G70" s="58" t="str">
        <f>'Output to other models'!$B$55</f>
        <v>Outputs for users' internal use</v>
      </c>
    </row>
    <row r="72" spans="2:7" x14ac:dyDescent="0.25">
      <c r="B72" s="30" t="s">
        <v>117</v>
      </c>
      <c r="C72" s="30"/>
      <c r="D72" s="30"/>
      <c r="E72" s="30"/>
      <c r="F72" s="30"/>
      <c r="G72" s="30"/>
    </row>
    <row r="74" spans="2:7" x14ac:dyDescent="0.25">
      <c r="C74" s="29" t="s">
        <v>118</v>
      </c>
    </row>
    <row r="76" spans="2:7" ht="15.75" thickBot="1" x14ac:dyDescent="0.3">
      <c r="F76" s="333" t="s">
        <v>111</v>
      </c>
      <c r="G76" s="297" t="s">
        <v>112</v>
      </c>
    </row>
    <row r="77" spans="2:7" ht="15.75" thickTop="1" x14ac:dyDescent="0.25">
      <c r="F77" s="301" t="s">
        <v>52</v>
      </c>
      <c r="G77" s="58" t="str">
        <f ca="1">'Fixed inputs'!$C$13</f>
        <v>Input 101-A: Conversions and time</v>
      </c>
    </row>
    <row r="78" spans="2:7" x14ac:dyDescent="0.25">
      <c r="F78" s="300" t="s">
        <v>115</v>
      </c>
      <c r="G78" s="58" t="str">
        <f ca="1">'Fixed inputs'!$C$20</f>
        <v>Input 101-B: Input 101-B: Rounding</v>
      </c>
    </row>
    <row r="79" spans="2:7" x14ac:dyDescent="0.25">
      <c r="F79" s="300" t="s">
        <v>115</v>
      </c>
      <c r="G79" s="58" t="str">
        <f ca="1">'Fixed inputs'!$C$33</f>
        <v>Input 101-C: Financial and general assumptions</v>
      </c>
    </row>
    <row r="80" spans="2:7" x14ac:dyDescent="0.25">
      <c r="F80" s="300" t="s">
        <v>115</v>
      </c>
      <c r="G80" s="58" t="str">
        <f ca="1">'Fixed inputs'!$C$43</f>
        <v>Input 101-D: Mappings</v>
      </c>
    </row>
    <row r="81" spans="6:7" x14ac:dyDescent="0.25">
      <c r="F81" s="300" t="s">
        <v>115</v>
      </c>
      <c r="G81" s="58" t="str">
        <f ca="1">'Fixed inputs'!$C$84</f>
        <v>Input 101-E: Standing charge factors</v>
      </c>
    </row>
    <row r="82" spans="6:7" x14ac:dyDescent="0.25">
      <c r="F82" s="300" t="s">
        <v>115</v>
      </c>
      <c r="G82" s="58" t="str">
        <f ca="1">'Fixed inputs'!$C$99</f>
        <v>Input 101-F: Flags</v>
      </c>
    </row>
    <row r="83" spans="6:7" x14ac:dyDescent="0.25">
      <c r="F83" s="300" t="s">
        <v>115</v>
      </c>
      <c r="G83" s="58" t="str">
        <f ca="1">'Fixed inputs'!$C$141</f>
        <v>Input 101-G: Identifiers for customer groupings</v>
      </c>
    </row>
    <row r="84" spans="6:7" x14ac:dyDescent="0.25">
      <c r="F84" s="300" t="s">
        <v>115</v>
      </c>
      <c r="G84" s="58" t="str">
        <f ca="1">'Fixed inputs'!$C$151</f>
        <v>Input 101-H: Decimal places for error checks</v>
      </c>
    </row>
    <row r="85" spans="6:7" ht="15.75" thickBot="1" x14ac:dyDescent="0.3">
      <c r="F85" s="300" t="s">
        <v>115</v>
      </c>
      <c r="G85" s="58" t="str">
        <f ca="1">'Fixed inputs'!$C$155</f>
        <v>Input 101-I: Map of applicable MPANs</v>
      </c>
    </row>
    <row r="86" spans="6:7" ht="15.75" thickTop="1" x14ac:dyDescent="0.25">
      <c r="F86" s="301" t="s">
        <v>55</v>
      </c>
      <c r="G86" s="58" t="str">
        <f ca="1">'Inputs by customer type'!$C$13</f>
        <v>Input 102-A: Load characteristics</v>
      </c>
    </row>
    <row r="87" spans="6:7" x14ac:dyDescent="0.25">
      <c r="F87" s="300" t="s">
        <v>115</v>
      </c>
      <c r="G87" s="58" t="str">
        <f ca="1">'Inputs by customer type'!$C$18</f>
        <v>Input 102-B: Volume forecasts for the charging year</v>
      </c>
    </row>
    <row r="88" spans="6:7" x14ac:dyDescent="0.25">
      <c r="F88" s="300" t="s">
        <v>115</v>
      </c>
      <c r="G88" s="58" t="str">
        <f ca="1">'Inputs by customer type'!$C$49</f>
        <v>Input 102-C: Service model asset values</v>
      </c>
    </row>
    <row r="89" spans="6:7" x14ac:dyDescent="0.25">
      <c r="F89" s="300" t="s">
        <v>115</v>
      </c>
      <c r="G89" s="58" t="str">
        <f ca="1">'Inputs by customer type'!$C$58</f>
        <v>Input 102-D: Previous year all-the-way tariff forecast</v>
      </c>
    </row>
    <row r="90" spans="6:7" ht="15.75" thickBot="1" x14ac:dyDescent="0.3">
      <c r="F90" s="300" t="s">
        <v>115</v>
      </c>
      <c r="G90" s="58" t="str">
        <f ca="1">'Inputs by customer type'!$C$72</f>
        <v>Input 102-E: Previous year net revenue (if known)</v>
      </c>
    </row>
    <row r="91" spans="6:7" ht="15.75" thickTop="1" x14ac:dyDescent="0.25">
      <c r="F91" s="301" t="s">
        <v>57</v>
      </c>
      <c r="G91" s="58" t="str">
        <f ca="1">'Inputs by network level'!$C$13</f>
        <v>Input 103-A: Network and load inputs</v>
      </c>
    </row>
    <row r="92" spans="6:7" x14ac:dyDescent="0.25">
      <c r="F92" s="300" t="s">
        <v>115</v>
      </c>
      <c r="G92" s="58" t="str">
        <f ca="1">'Inputs by network level'!$C$23</f>
        <v>Input 103-B: Customer contributions under current connection charging policy</v>
      </c>
    </row>
    <row r="93" spans="6:7" x14ac:dyDescent="0.25">
      <c r="F93" s="300" t="s">
        <v>115</v>
      </c>
      <c r="G93" s="58" t="str">
        <f ca="1">'Inputs by network level'!$C$31</f>
        <v>Input 103-C: DRM asset costs</v>
      </c>
    </row>
    <row r="94" spans="6:7" ht="15.75" thickBot="1" x14ac:dyDescent="0.3">
      <c r="F94" s="300" t="s">
        <v>115</v>
      </c>
      <c r="G94" s="58" t="str">
        <f ca="1">'Inputs by network level'!$C$35</f>
        <v>Input 103-D: Peaking probabilities by network level</v>
      </c>
    </row>
    <row r="95" spans="6:7" ht="15.75" thickTop="1" x14ac:dyDescent="0.25">
      <c r="F95" s="301" t="s">
        <v>59</v>
      </c>
      <c r="G95" s="58" t="str">
        <f ca="1">'General inputs'!$C$13</f>
        <v>Input 104-A: Inputs by distribution timeband</v>
      </c>
    </row>
    <row r="96" spans="6:7" x14ac:dyDescent="0.25">
      <c r="F96" s="300" t="s">
        <v>115</v>
      </c>
      <c r="G96" s="58" t="str">
        <f ca="1">'General inputs'!$C$25</f>
        <v>Input 104-B: LDNO discount inputs</v>
      </c>
    </row>
    <row r="97" spans="6:7" x14ac:dyDescent="0.25">
      <c r="F97" s="300" t="s">
        <v>115</v>
      </c>
      <c r="G97" s="58" t="str">
        <f ca="1">'General inputs'!$C$35</f>
        <v>Input 104-C: CDCM target revenue</v>
      </c>
    </row>
    <row r="98" spans="6:7" x14ac:dyDescent="0.25">
      <c r="F98" s="300" t="s">
        <v>115</v>
      </c>
      <c r="G98" s="58" t="str">
        <f ca="1">'General inputs'!$C$89</f>
        <v>Input 104-D: Financial and general assumptions</v>
      </c>
    </row>
    <row r="99" spans="6:7" x14ac:dyDescent="0.25">
      <c r="F99" s="300" t="s">
        <v>115</v>
      </c>
      <c r="G99" s="58" t="str">
        <f ca="1">'General inputs'!$C$95</f>
        <v>Input 104-E: Transmission exit charges</v>
      </c>
    </row>
    <row r="100" spans="6:7" ht="15.75" thickBot="1" x14ac:dyDescent="0.3">
      <c r="F100" s="300" t="s">
        <v>115</v>
      </c>
      <c r="G100" s="58" t="str">
        <f ca="1">'General inputs'!$C$99</f>
        <v>Input 104-F: Other expenditure</v>
      </c>
    </row>
    <row r="101" spans="6:7" ht="16.5" thickTop="1" thickBot="1" x14ac:dyDescent="0.3">
      <c r="F101" s="303" t="s">
        <v>119</v>
      </c>
      <c r="G101" s="58" t="str">
        <f ca="1">'Standing charge factors'!$C$19</f>
        <v>Section 101-A: Adjustments to standing charges</v>
      </c>
    </row>
    <row r="102" spans="6:7" ht="15.75" thickTop="1" x14ac:dyDescent="0.25">
      <c r="F102" s="303" t="s">
        <v>63</v>
      </c>
      <c r="G102" s="58" t="str">
        <f ca="1">'Load &amp; loss characteristics'!$C$17</f>
        <v>Section 102-A: Load characteristics</v>
      </c>
    </row>
    <row r="103" spans="6:7" x14ac:dyDescent="0.25">
      <c r="F103" s="302" t="s">
        <v>115</v>
      </c>
      <c r="G103" s="58" t="str">
        <f ca="1">'Load &amp; loss characteristics'!$C$25</f>
        <v>Section 102-B: Loss adjustment factors</v>
      </c>
    </row>
    <row r="104" spans="6:7" x14ac:dyDescent="0.25">
      <c r="F104" s="302" t="s">
        <v>115</v>
      </c>
      <c r="G104" s="58" t="str">
        <f ca="1">'Load &amp; loss characteristics'!$C$35</f>
        <v>Section 102-C: Proportion of relevant load going through 132kV/HV direct transformation</v>
      </c>
    </row>
    <row r="105" spans="6:7" x14ac:dyDescent="0.25">
      <c r="F105" s="302" t="s">
        <v>115</v>
      </c>
      <c r="G105" s="58" t="str">
        <f ca="1">'Load &amp; loss characteristics'!$C$40</f>
        <v>Section 102-D: Network use factors</v>
      </c>
    </row>
    <row r="106" spans="6:7" ht="15.75" thickBot="1" x14ac:dyDescent="0.3">
      <c r="F106" s="302" t="s">
        <v>115</v>
      </c>
      <c r="G106" s="58" t="str">
        <f ca="1">'Load &amp; loss characteristics'!$C$133</f>
        <v>Section 102-E: User loss factors</v>
      </c>
    </row>
    <row r="107" spans="6:7" ht="15.75" thickTop="1" x14ac:dyDescent="0.25">
      <c r="F107" s="303" t="s">
        <v>65</v>
      </c>
      <c r="G107" s="58" t="str">
        <f ca="1">'Customer contributions'!$C$16</f>
        <v>Section 103-A: Network use factors</v>
      </c>
    </row>
    <row r="108" spans="6:7" ht="15.75" thickBot="1" x14ac:dyDescent="0.3">
      <c r="F108" s="302" t="s">
        <v>115</v>
      </c>
      <c r="G108" s="58" t="str">
        <f ca="1">'Customer contributions'!$C$41</f>
        <v>Section 103-B: Customer contributions</v>
      </c>
    </row>
    <row r="109" spans="6:7" ht="15.75" thickTop="1" x14ac:dyDescent="0.25">
      <c r="F109" s="303" t="s">
        <v>67</v>
      </c>
      <c r="G109" s="58" t="str">
        <f ca="1">'Volume adjustments'!$C$15</f>
        <v>Section 104-A: LDNO discounts</v>
      </c>
    </row>
    <row r="110" spans="6:7" ht="15.75" thickBot="1" x14ac:dyDescent="0.3">
      <c r="F110" s="302" t="s">
        <v>115</v>
      </c>
      <c r="G110" s="58" t="str">
        <f ca="1">'Volume adjustments'!$C$55</f>
        <v>Section 104-B: Volume discounting</v>
      </c>
    </row>
    <row r="111" spans="6:7" ht="15.75" thickTop="1" x14ac:dyDescent="0.25">
      <c r="F111" s="303" t="s">
        <v>69</v>
      </c>
      <c r="G111" s="58" t="str">
        <f ca="1">'Pseudo-load coefficients'!$C$18</f>
        <v>Section 105-A: Flags and hours in timebands</v>
      </c>
    </row>
    <row r="112" spans="6:7" x14ac:dyDescent="0.25">
      <c r="F112" s="302" t="s">
        <v>115</v>
      </c>
      <c r="G112" s="58" t="str">
        <f ca="1">'Pseudo-load coefficients'!$C$28</f>
        <v>Section 105-B: Average load by timeband</v>
      </c>
    </row>
    <row r="113" spans="6:7" x14ac:dyDescent="0.25">
      <c r="F113" s="302" t="s">
        <v>115</v>
      </c>
      <c r="G113" s="58" t="str">
        <f ca="1">'Pseudo-load coefficients'!$C$36</f>
        <v>Section 105-C: Aggregated groups for pseudo-load coefficients</v>
      </c>
    </row>
    <row r="114" spans="6:7" x14ac:dyDescent="0.25">
      <c r="F114" s="302" t="s">
        <v>115</v>
      </c>
      <c r="G114" s="58" t="str">
        <f ca="1">'Pseudo-load coefficients'!$C$52</f>
        <v>Section 105-D: Ratio of coincidence to load factor assuming units evenly spread within time bands, and peak falls in Red period</v>
      </c>
    </row>
    <row r="115" spans="6:7" x14ac:dyDescent="0.25">
      <c r="F115" s="302" t="s">
        <v>115</v>
      </c>
      <c r="G115" s="58" t="str">
        <f ca="1">'Pseudo-load coefficients'!$C$60</f>
        <v>Section 105-E: Load characteristics for all customers</v>
      </c>
    </row>
    <row r="116" spans="6:7" x14ac:dyDescent="0.25">
      <c r="F116" s="302" t="s">
        <v>115</v>
      </c>
      <c r="G116" s="58" t="str">
        <f ca="1">'Pseudo-load coefficients'!$C$65</f>
        <v>Section 105-F: Aggregated load characteristics for grouped customers</v>
      </c>
    </row>
    <row r="117" spans="6:7" x14ac:dyDescent="0.25">
      <c r="F117" s="302" t="s">
        <v>115</v>
      </c>
      <c r="G117" s="58" t="str">
        <f ca="1">'Pseudo-load coefficients'!$C$87</f>
        <v>Section 105-G: Calculation of correction factor</v>
      </c>
    </row>
    <row r="118" spans="6:7" x14ac:dyDescent="0.25">
      <c r="F118" s="302" t="s">
        <v>115</v>
      </c>
      <c r="G118" s="58" t="str">
        <f ca="1">'Pseudo-load coefficients'!$C$100</f>
        <v>Section 105-H: Peaking probabilities, by network level</v>
      </c>
    </row>
    <row r="119" spans="6:7" x14ac:dyDescent="0.25">
      <c r="F119" s="302" t="s">
        <v>115</v>
      </c>
      <c r="G119" s="58" t="str">
        <f ca="1">'Pseudo-load coefficients'!$C$174</f>
        <v>Section 105-I: Peaking probabilities, by network level and customer type</v>
      </c>
    </row>
    <row r="120" spans="6:7" x14ac:dyDescent="0.25">
      <c r="F120" s="302" t="s">
        <v>115</v>
      </c>
      <c r="G120" s="58" t="str">
        <f ca="1">'Pseudo-load coefficients'!$C$221</f>
        <v>Section 105-J: Ratio of coincidence factor to load factor, based on uniform distribution in timebands and peaking probabilities</v>
      </c>
    </row>
    <row r="121" spans="6:7" x14ac:dyDescent="0.25">
      <c r="F121" s="302" t="s">
        <v>115</v>
      </c>
      <c r="G121" s="58" t="str">
        <f ca="1">'Pseudo-load coefficients'!$C$265</f>
        <v>Section 105-K: Load coefficient</v>
      </c>
    </row>
    <row r="122" spans="6:7" ht="15.75" thickBot="1" x14ac:dyDescent="0.3">
      <c r="F122" s="302" t="s">
        <v>115</v>
      </c>
      <c r="G122" s="58" t="str">
        <f ca="1">'Pseudo-load coefficients'!$C$269</f>
        <v>Section 105-L: Pseudo load coefficients, by unit rate</v>
      </c>
    </row>
    <row r="123" spans="6:7" ht="15.75" thickTop="1" x14ac:dyDescent="0.25">
      <c r="F123" s="303" t="s">
        <v>71</v>
      </c>
      <c r="G123" s="58" t="str">
        <f ca="1">'System peak demand'!$C$18</f>
        <v>Section 106-A: Common inputs for chargeable load calculations</v>
      </c>
    </row>
    <row r="124" spans="6:7" x14ac:dyDescent="0.25">
      <c r="F124" s="302" t="s">
        <v>115</v>
      </c>
      <c r="G124" s="58" t="str">
        <f ca="1">'System peak demand'!$C$67</f>
        <v>Section 106-B: System peak load, by unit rate</v>
      </c>
    </row>
    <row r="125" spans="6:7" x14ac:dyDescent="0.25">
      <c r="F125" s="302" t="s">
        <v>115</v>
      </c>
      <c r="G125" s="58" t="str">
        <f ca="1">'System peak demand'!$C$138</f>
        <v>Section 106-C: System peak load, all unit rates</v>
      </c>
    </row>
    <row r="126" spans="6:7" x14ac:dyDescent="0.25">
      <c r="F126" s="302" t="s">
        <v>115</v>
      </c>
      <c r="G126" s="58" t="str">
        <f ca="1">'System peak demand'!$C$164</f>
        <v>Section 106-D: Unit rate contributions to chargeable peak load</v>
      </c>
    </row>
    <row r="127" spans="6:7" x14ac:dyDescent="0.25">
      <c r="F127" s="302" t="s">
        <v>115</v>
      </c>
      <c r="G127" s="58" t="str">
        <f ca="1">'System peak demand'!$C$184</f>
        <v>Section 106-E: Adjustment of import and exceeded capacity</v>
      </c>
    </row>
    <row r="128" spans="6:7" x14ac:dyDescent="0.25">
      <c r="F128" s="302" t="s">
        <v>115</v>
      </c>
      <c r="G128" s="58" t="str">
        <f ca="1">'System peak demand'!$C$194</f>
        <v>Section 106-F: Calculation of LV circuit diversity factor</v>
      </c>
    </row>
    <row r="129" spans="6:7" x14ac:dyDescent="0.25">
      <c r="F129" s="302" t="s">
        <v>115</v>
      </c>
      <c r="G129" s="58" t="str">
        <f ca="1">'System peak demand'!$C$236</f>
        <v>Section 106-G: Import/exceeded capacity contribution to system peak</v>
      </c>
    </row>
    <row r="130" spans="6:7" x14ac:dyDescent="0.25">
      <c r="F130" s="302" t="s">
        <v>115</v>
      </c>
      <c r="G130" s="58" t="str">
        <f ca="1">'System peak demand'!$C$249</f>
        <v>Section 106-H: Estimated capacity contribution to system peak</v>
      </c>
    </row>
    <row r="131" spans="6:7" ht="15.75" thickBot="1" x14ac:dyDescent="0.3">
      <c r="F131" s="302" t="s">
        <v>115</v>
      </c>
      <c r="G131" s="58" t="str">
        <f ca="1">'System peak demand'!$C$266</f>
        <v>Section 106-I: System peak based on chargeable load</v>
      </c>
    </row>
    <row r="132" spans="6:7" ht="16.5" thickTop="1" thickBot="1" x14ac:dyDescent="0.3">
      <c r="F132" s="303" t="s">
        <v>73</v>
      </c>
      <c r="G132" s="58" t="str">
        <f ca="1">'Service model assets'!$C$14</f>
        <v>Section 107-A: Service model notional asset values</v>
      </c>
    </row>
    <row r="133" spans="6:7" ht="15.75" thickTop="1" x14ac:dyDescent="0.25">
      <c r="F133" s="303" t="s">
        <v>75</v>
      </c>
      <c r="G133" s="58" t="str">
        <f ca="1">'Unit costs'!$C$19</f>
        <v>Section 108-A: Financial data</v>
      </c>
    </row>
    <row r="134" spans="6:7" x14ac:dyDescent="0.25">
      <c r="F134" s="302" t="s">
        <v>115</v>
      </c>
      <c r="G134" s="58" t="str">
        <f ca="1">'Unit costs'!$C$27</f>
        <v>Section 108-B: Diversity and loss adjustment factors</v>
      </c>
    </row>
    <row r="135" spans="6:7" x14ac:dyDescent="0.25">
      <c r="F135" s="302" t="s">
        <v>115</v>
      </c>
      <c r="G135" s="58" t="str">
        <f ca="1">'Unit costs'!$C$35</f>
        <v>Section 108-C: Maximum demand</v>
      </c>
    </row>
    <row r="136" spans="6:7" x14ac:dyDescent="0.25">
      <c r="F136" s="302" t="s">
        <v>115</v>
      </c>
      <c r="G136" s="58" t="str">
        <f ca="1">'Unit costs'!$C$42</f>
        <v>Section 108-D: Rerouting matrix</v>
      </c>
    </row>
    <row r="137" spans="6:7" x14ac:dyDescent="0.25">
      <c r="F137" s="302" t="s">
        <v>115</v>
      </c>
      <c r="G137" s="58" t="str">
        <f ca="1">'Unit costs'!$C$50</f>
        <v>Section 108-E: Annuitised cost of assets</v>
      </c>
    </row>
    <row r="138" spans="6:7" x14ac:dyDescent="0.25">
      <c r="F138" s="302" t="s">
        <v>115</v>
      </c>
      <c r="G138" s="58" t="str">
        <f ca="1">'Unit costs'!$C$62</f>
        <v>Section 108-F: System simultaneous peak load based on charegable units</v>
      </c>
    </row>
    <row r="139" spans="6:7" x14ac:dyDescent="0.25">
      <c r="F139" s="302" t="s">
        <v>115</v>
      </c>
      <c r="G139" s="58" t="str">
        <f ca="1">'Unit costs'!$C$69</f>
        <v>Section 108-G: Notional asset values, by network level</v>
      </c>
    </row>
    <row r="140" spans="6:7" x14ac:dyDescent="0.25">
      <c r="F140" s="302" t="s">
        <v>115</v>
      </c>
      <c r="G140" s="58" t="str">
        <f ca="1">'Unit costs'!$C$80</f>
        <v>Section 108-H: Other operating costs</v>
      </c>
    </row>
    <row r="141" spans="6:7" x14ac:dyDescent="0.25">
      <c r="F141" s="302" t="s">
        <v>115</v>
      </c>
      <c r="G141" s="58" t="str">
        <f ca="1">'Unit costs'!$C$92</f>
        <v>Section 108-I: Other operating costs by network level</v>
      </c>
    </row>
    <row r="142" spans="6:7" x14ac:dyDescent="0.25">
      <c r="F142" s="302" t="s">
        <v>115</v>
      </c>
      <c r="G142" s="58" t="str">
        <f ca="1">'Unit costs'!$C$104</f>
        <v>Section 108-J: Notional asset values by network level</v>
      </c>
    </row>
    <row r="143" spans="6:7" x14ac:dyDescent="0.25">
      <c r="F143" s="302" t="s">
        <v>115</v>
      </c>
      <c r="G143" s="58" t="str">
        <f ca="1">'Unit costs'!$C$110</f>
        <v>Section 108-K: Unit costs</v>
      </c>
    </row>
    <row r="144" spans="6:7" ht="15.75" thickBot="1" x14ac:dyDescent="0.3">
      <c r="F144" s="302" t="s">
        <v>115</v>
      </c>
      <c r="G144" s="58" t="str">
        <f ca="1">'Unit costs'!$C$117</f>
        <v>Section 108-L: Values used for allocating costs to service models</v>
      </c>
    </row>
    <row r="145" spans="6:7" ht="15.75" thickTop="1" x14ac:dyDescent="0.25">
      <c r="F145" s="303" t="s">
        <v>77</v>
      </c>
      <c r="G145" s="58" t="str">
        <f ca="1">'Initial unit rates'!$C$13</f>
        <v>Section 109-A: Inputs for yardstick and unit rate calculations</v>
      </c>
    </row>
    <row r="146" spans="6:7" x14ac:dyDescent="0.25">
      <c r="F146" s="302" t="s">
        <v>115</v>
      </c>
      <c r="G146" s="58" t="str">
        <f ca="1">'Initial unit rates'!$C$118</f>
        <v>Section 109-B: Yardstick charges</v>
      </c>
    </row>
    <row r="147" spans="6:7" x14ac:dyDescent="0.25">
      <c r="F147" s="302" t="s">
        <v>115</v>
      </c>
      <c r="G147" s="58" t="str">
        <f ca="1">'Initial unit rates'!$C$146</f>
        <v>Section 109-C: Unit rate 1</v>
      </c>
    </row>
    <row r="148" spans="6:7" x14ac:dyDescent="0.25">
      <c r="F148" s="302" t="s">
        <v>115</v>
      </c>
      <c r="G148" s="58" t="str">
        <f ca="1">'Initial unit rates'!$C$175</f>
        <v>Section 109-D: Unit rate 2</v>
      </c>
    </row>
    <row r="149" spans="6:7" ht="15.75" thickBot="1" x14ac:dyDescent="0.3">
      <c r="F149" s="302" t="s">
        <v>115</v>
      </c>
      <c r="G149" s="58" t="str">
        <f ca="1">'Initial unit rates'!$C$204</f>
        <v>Section 109-E: Unit rate 3</v>
      </c>
    </row>
    <row r="150" spans="6:7" ht="15.75" thickTop="1" x14ac:dyDescent="0.25">
      <c r="F150" s="303" t="s">
        <v>79</v>
      </c>
      <c r="G150" s="58" t="str">
        <f ca="1">'Service model charges'!$C$17</f>
        <v>Section 110-A: Inputs to service model charge calculation</v>
      </c>
    </row>
    <row r="151" spans="6:7" x14ac:dyDescent="0.25">
      <c r="F151" s="302" t="s">
        <v>115</v>
      </c>
      <c r="G151" s="58" t="str">
        <f ca="1">'Service model charges'!$C$33</f>
        <v>Section 110-B: Calculation of other operating expenditure per £ of notional asset value</v>
      </c>
    </row>
    <row r="152" spans="6:7" ht="15.75" thickBot="1" x14ac:dyDescent="0.3">
      <c r="F152" s="302" t="s">
        <v>115</v>
      </c>
      <c r="G152" s="58" t="str">
        <f ca="1">'Service model charges'!$C$37</f>
        <v>Section 110-C: Calculation of service model charges</v>
      </c>
    </row>
    <row r="153" spans="6:7" ht="15.75" thickTop="1" x14ac:dyDescent="0.25">
      <c r="F153" s="303" t="s">
        <v>81</v>
      </c>
      <c r="G153" s="58" t="str">
        <f ca="1">'Unit rate charges'!$C$19</f>
        <v>Section 111-A: Initial unit rate 1</v>
      </c>
    </row>
    <row r="154" spans="6:7" x14ac:dyDescent="0.25">
      <c r="F154" s="302" t="s">
        <v>115</v>
      </c>
      <c r="G154" s="58" t="str">
        <f ca="1">'Unit rate charges'!$C$49</f>
        <v>Section 111-B: Initial unit rate 2</v>
      </c>
    </row>
    <row r="155" spans="6:7" x14ac:dyDescent="0.25">
      <c r="F155" s="302" t="s">
        <v>115</v>
      </c>
      <c r="G155" s="58" t="str">
        <f ca="1">'Unit rate charges'!$C$79</f>
        <v>Section 111-C: Initial unit rate 3</v>
      </c>
    </row>
    <row r="156" spans="6:7" x14ac:dyDescent="0.25">
      <c r="F156" s="302" t="s">
        <v>115</v>
      </c>
      <c r="G156" s="58" t="str">
        <f ca="1">'Unit rate charges'!$C$109</f>
        <v>Section 111-D: Standing charge factors</v>
      </c>
    </row>
    <row r="157" spans="6:7" x14ac:dyDescent="0.25">
      <c r="F157" s="302" t="s">
        <v>115</v>
      </c>
      <c r="G157" s="58" t="str">
        <f ca="1">'Unit rate charges'!$C$124</f>
        <v>Section 111-E: Contributions to unit rate 1 p/kWh by network level (taking account of standing charges)</v>
      </c>
    </row>
    <row r="158" spans="6:7" x14ac:dyDescent="0.25">
      <c r="F158" s="302" t="s">
        <v>115</v>
      </c>
      <c r="G158" s="58" t="str">
        <f ca="1">'Unit rate charges'!$C$154</f>
        <v>Section 111-F: Contributions to unit rate 2 p/kWh by network level (taking account of standing charges)</v>
      </c>
    </row>
    <row r="159" spans="6:7" x14ac:dyDescent="0.25">
      <c r="F159" s="302" t="s">
        <v>115</v>
      </c>
      <c r="G159" s="58" t="str">
        <f ca="1">'Unit rate charges'!$C$184</f>
        <v>Section 111-G: Contributions to unit rate 3 p/kWh by network level (taking account of standing charges)</v>
      </c>
    </row>
    <row r="160" spans="6:7" ht="15.75" thickBot="1" x14ac:dyDescent="0.3">
      <c r="F160" s="302" t="s">
        <v>115</v>
      </c>
      <c r="G160" s="58" t="str">
        <f ca="1">'Unit rate charges'!$C$214</f>
        <v>Section 111-H: Unit rates, post application of standing charges</v>
      </c>
    </row>
    <row r="161" spans="6:7" ht="15.75" thickTop="1" x14ac:dyDescent="0.25">
      <c r="F161" s="303" t="s">
        <v>83</v>
      </c>
      <c r="G161" s="58" t="str">
        <f ca="1">'Reactive power charges'!$C$17</f>
        <v>Section 112-A: Inputs to reactive power charge calculations</v>
      </c>
    </row>
    <row r="162" spans="6:7" x14ac:dyDescent="0.25">
      <c r="F162" s="302" t="s">
        <v>115</v>
      </c>
      <c r="G162" s="58" t="str">
        <f ca="1">'Reactive power charges'!$C$120</f>
        <v>Section 112-B: Yardstick charge (demand)</v>
      </c>
    </row>
    <row r="163" spans="6:7" x14ac:dyDescent="0.25">
      <c r="F163" s="302" t="s">
        <v>115</v>
      </c>
      <c r="G163" s="58" t="str">
        <f ca="1">'Reactive power charges'!$C$155</f>
        <v>Section 112-C: Yardstick charge used for generation</v>
      </c>
    </row>
    <row r="164" spans="6:7" x14ac:dyDescent="0.25">
      <c r="F164" s="302" t="s">
        <v>115</v>
      </c>
      <c r="G164" s="58" t="str">
        <f ca="1">'Reactive power charges'!$C$190</f>
        <v>Section 112-D: Reactive power charges, all customer categories</v>
      </c>
    </row>
    <row r="165" spans="6:7" ht="15.75" thickBot="1" x14ac:dyDescent="0.3">
      <c r="F165" s="302" t="s">
        <v>115</v>
      </c>
      <c r="G165" s="58" t="str">
        <f ca="1">'Reactive power charges'!$C$220</f>
        <v>Section 112-E: Reactive power charges for applicable customers</v>
      </c>
    </row>
    <row r="166" spans="6:7" ht="15.75" thickTop="1" x14ac:dyDescent="0.25">
      <c r="F166" s="303" t="s">
        <v>85</v>
      </c>
      <c r="G166" s="58" t="str">
        <f ca="1">'Capacity charges'!$C$19</f>
        <v>Section 113-A: Inputs to capacity charge calculations</v>
      </c>
    </row>
    <row r="167" spans="6:7" x14ac:dyDescent="0.25">
      <c r="F167" s="302" t="s">
        <v>115</v>
      </c>
      <c r="G167" s="58" t="str">
        <f ca="1">'Capacity charges'!$C$129</f>
        <v>Section 113-B: Capacity-based charge elements (to be split between capacity &amp; fixed charges)</v>
      </c>
    </row>
    <row r="168" spans="6:7" x14ac:dyDescent="0.25">
      <c r="F168" s="302" t="s">
        <v>115</v>
      </c>
      <c r="G168" s="58" t="str">
        <f ca="1">'Capacity charges'!$C$159</f>
        <v>Section 113-C: Exceeded capacity-based charge elements</v>
      </c>
    </row>
    <row r="169" spans="6:7" x14ac:dyDescent="0.25">
      <c r="F169" s="302" t="s">
        <v>115</v>
      </c>
      <c r="G169" s="58" t="str">
        <f ca="1">'Capacity charges'!$C$189</f>
        <v>Section 113-D: Capacity charges for eligible customers, by network level</v>
      </c>
    </row>
    <row r="170" spans="6:7" x14ac:dyDescent="0.25">
      <c r="F170" s="302" t="s">
        <v>115</v>
      </c>
      <c r="G170" s="58" t="str">
        <f ca="1">'Capacity charges'!$C$219</f>
        <v>Section 113-E: Exceeded capacity charges for eligible customers, by network level</v>
      </c>
    </row>
    <row r="171" spans="6:7" x14ac:dyDescent="0.25">
      <c r="F171" s="302" t="s">
        <v>115</v>
      </c>
      <c r="G171" s="58" t="str">
        <f ca="1">'Capacity charges'!$C$254</f>
        <v>Section 113-F: Capacity and exceeded capacity charges</v>
      </c>
    </row>
    <row r="172" spans="6:7" ht="15.75" thickBot="1" x14ac:dyDescent="0.3">
      <c r="F172" s="302" t="s">
        <v>115</v>
      </c>
      <c r="G172" s="58" t="str">
        <f ca="1">'Capacity charges'!$C$259</f>
        <v>Section 113-G: Capacity elements allocated to fixed charges</v>
      </c>
    </row>
    <row r="173" spans="6:7" ht="15.75" thickTop="1" x14ac:dyDescent="0.25">
      <c r="F173" s="303" t="s">
        <v>87</v>
      </c>
      <c r="G173" s="58" t="str">
        <f ca="1">'Fixed charges'!$C$16</f>
        <v>Section 114-A: Volumes (discounted MPANs &amp; maximum load)</v>
      </c>
    </row>
    <row r="174" spans="6:7" x14ac:dyDescent="0.25">
      <c r="F174" s="302" t="s">
        <v>115</v>
      </c>
      <c r="G174" s="58" t="str">
        <f ca="1">'Fixed charges'!$C$22</f>
        <v>Section 114-B: Capacity elements allocated to fixed charges</v>
      </c>
    </row>
    <row r="175" spans="6:7" x14ac:dyDescent="0.25">
      <c r="F175" s="302" t="s">
        <v>115</v>
      </c>
      <c r="G175" s="58" t="str">
        <f ca="1">'Fixed charges'!$C$52</f>
        <v>Section 114-C: Service model costs allocated to fixed charges</v>
      </c>
    </row>
    <row r="176" spans="6:7" x14ac:dyDescent="0.25">
      <c r="F176" s="302" t="s">
        <v>115</v>
      </c>
      <c r="G176" s="58" t="str">
        <f ca="1">'Fixed charges'!$C$58</f>
        <v>Section 114-D: Flags</v>
      </c>
    </row>
    <row r="177" spans="6:7" x14ac:dyDescent="0.25">
      <c r="F177" s="302" t="s">
        <v>115</v>
      </c>
      <c r="G177" s="58" t="str">
        <f ca="1">'Fixed charges'!$C$67</f>
        <v>Section 114-E: Revenue allocated to fixed charges</v>
      </c>
    </row>
    <row r="178" spans="6:7" x14ac:dyDescent="0.25">
      <c r="F178" s="302" t="s">
        <v>115</v>
      </c>
      <c r="G178" s="58" t="str">
        <f ca="1">'Fixed charges'!$C$97</f>
        <v>Section 114-F: Revenue allocated to fixed charges, by aggregation group</v>
      </c>
    </row>
    <row r="179" spans="6:7" x14ac:dyDescent="0.25">
      <c r="F179" s="302" t="s">
        <v>115</v>
      </c>
      <c r="G179" s="58" t="str">
        <f ca="1">'Fixed charges'!$C$127</f>
        <v>Section 114-G: Fixed charges, by network level</v>
      </c>
    </row>
    <row r="180" spans="6:7" ht="15.75" thickBot="1" x14ac:dyDescent="0.3">
      <c r="F180" s="302" t="s">
        <v>115</v>
      </c>
      <c r="G180" s="58" t="str">
        <f ca="1">'Fixed charges'!$C$159</f>
        <v>Section 114-H: Aggregated fixed charges</v>
      </c>
    </row>
    <row r="181" spans="6:7" ht="15.75" thickTop="1" x14ac:dyDescent="0.25">
      <c r="F181" s="303" t="s">
        <v>89</v>
      </c>
      <c r="G181" s="58" t="str">
        <f ca="1">'Revenue matching'!$C$15</f>
        <v>Section 115-A: Inputs to revenue matching</v>
      </c>
    </row>
    <row r="182" spans="6:7" x14ac:dyDescent="0.25">
      <c r="F182" s="302" t="s">
        <v>115</v>
      </c>
      <c r="G182" s="58" t="str">
        <f ca="1">'Revenue matching'!$C$45</f>
        <v>Section 115-B: Net revenue before matching</v>
      </c>
    </row>
    <row r="183" spans="6:7" x14ac:dyDescent="0.25">
      <c r="F183" s="302" t="s">
        <v>115</v>
      </c>
      <c r="G183" s="58" t="str">
        <f ca="1">'Revenue matching'!$C$68</f>
        <v>Section 115-C: Calculation of unconstrained adder solution</v>
      </c>
    </row>
    <row r="184" spans="6:7" x14ac:dyDescent="0.25">
      <c r="F184" s="302" t="s">
        <v>115</v>
      </c>
      <c r="G184" s="58" t="str">
        <f ca="1">'Revenue matching'!$C$92</f>
        <v>Section 115-D: Algorithm to find constrained adder solution</v>
      </c>
    </row>
    <row r="185" spans="6:7" ht="15.75" thickBot="1" x14ac:dyDescent="0.3">
      <c r="F185" s="302" t="s">
        <v>115</v>
      </c>
      <c r="G185" s="58" t="str">
        <f ca="1">'Revenue matching'!$C$131</f>
        <v>Section 115-E: Adder to be applied to unit rates</v>
      </c>
    </row>
    <row r="186" spans="6:7" ht="15.75" thickTop="1" x14ac:dyDescent="0.25">
      <c r="F186" s="303" t="s">
        <v>999</v>
      </c>
      <c r="G186" s="58" t="str">
        <f ca="1">'Fixed charge adder'!$C$16</f>
        <v>Section 116-A: Inputs for fixed tariff adjustments</v>
      </c>
    </row>
    <row r="187" spans="6:7" x14ac:dyDescent="0.25">
      <c r="F187" s="302" t="s">
        <v>115</v>
      </c>
      <c r="G187" s="58" t="str">
        <f ca="1">'Fixed charge adder'!$C$33</f>
        <v>Section 116-B: Calculation of fixed tariff adjustments</v>
      </c>
    </row>
    <row r="188" spans="6:7" ht="15.75" thickBot="1" x14ac:dyDescent="0.3">
      <c r="F188" s="302" t="s">
        <v>115</v>
      </c>
      <c r="G188" s="58" t="str">
        <f ca="1">'Fixed charge adder'!$C$48</f>
        <v>Section 116-C: Calculation of fixed charge adder revenue</v>
      </c>
    </row>
    <row r="189" spans="6:7" ht="15.75" thickTop="1" x14ac:dyDescent="0.25">
      <c r="F189" s="303" t="s">
        <v>91</v>
      </c>
      <c r="G189" s="58" t="str">
        <f ca="1">Rounding!$C$16</f>
        <v>Section 117-A: Pre-match, pre-rounding tariff forecast</v>
      </c>
    </row>
    <row r="190" spans="6:7" x14ac:dyDescent="0.25">
      <c r="F190" s="302" t="s">
        <v>115</v>
      </c>
      <c r="G190" s="58" t="str">
        <f ca="1">Rounding!$C$28</f>
        <v>Section 117-B: Adder to be applied to unit rates</v>
      </c>
    </row>
    <row r="191" spans="6:7" x14ac:dyDescent="0.25">
      <c r="F191" s="302" t="s">
        <v>115</v>
      </c>
      <c r="G191" s="58" t="str">
        <f ca="1">Rounding!$C$40</f>
        <v>Section 117-C: Adder to be applied to fixed charge</v>
      </c>
    </row>
    <row r="192" spans="6:7" x14ac:dyDescent="0.25">
      <c r="F192" s="302" t="s">
        <v>115</v>
      </c>
      <c r="G192" s="58" t="str">
        <f ca="1">Rounding!$C$52</f>
        <v>Section 117-D: LDNO discounts</v>
      </c>
    </row>
    <row r="193" spans="6:7" x14ac:dyDescent="0.25">
      <c r="F193" s="302" t="s">
        <v>115</v>
      </c>
      <c r="G193" s="58" t="str">
        <f ca="1">Rounding!$C$72</f>
        <v>Section 117-E: Decimal places for rounding</v>
      </c>
    </row>
    <row r="194" spans="6:7" x14ac:dyDescent="0.25">
      <c r="F194" s="302" t="s">
        <v>115</v>
      </c>
      <c r="G194" s="58" t="str">
        <f ca="1">Rounding!$C$87</f>
        <v>Section 117-F: Tariff forecast, post-revenue matching</v>
      </c>
    </row>
    <row r="195" spans="6:7" x14ac:dyDescent="0.25">
      <c r="F195" s="302" t="s">
        <v>115</v>
      </c>
      <c r="G195" s="58" t="str">
        <f ca="1">Rounding!$C$98</f>
        <v>Section 117-G: Tariff forecast, post-adders &amp; discounting</v>
      </c>
    </row>
    <row r="196" spans="6:7" ht="15.75" thickBot="1" x14ac:dyDescent="0.3">
      <c r="F196" s="302" t="s">
        <v>115</v>
      </c>
      <c r="G196" s="58" t="str">
        <f ca="1">Rounding!$C$127</f>
        <v>Section 117-H: Tariff forecast, post-rounding</v>
      </c>
    </row>
    <row r="197" spans="6:7" ht="15.75" thickTop="1" x14ac:dyDescent="0.25">
      <c r="F197" s="303" t="s">
        <v>93</v>
      </c>
      <c r="G197" s="58" t="str">
        <f ca="1">'Net revenue summary'!$C$13</f>
        <v>Section 118-A: Volume forecasts</v>
      </c>
    </row>
    <row r="198" spans="6:7" x14ac:dyDescent="0.25">
      <c r="F198" s="302" t="s">
        <v>115</v>
      </c>
      <c r="G198" s="58" t="str">
        <f ca="1">'Net revenue summary'!$C$42</f>
        <v>Section 118-B: Tariff forecast</v>
      </c>
    </row>
    <row r="199" spans="6:7" x14ac:dyDescent="0.25">
      <c r="F199" s="302" t="s">
        <v>115</v>
      </c>
      <c r="G199" s="58" t="str">
        <f ca="1">'Net revenue summary'!$C$71</f>
        <v>Section 118-C: Net revenue components</v>
      </c>
    </row>
    <row r="200" spans="6:7" x14ac:dyDescent="0.25">
      <c r="F200" s="302" t="s">
        <v>115</v>
      </c>
      <c r="G200" s="58" t="str">
        <f ca="1">'Net revenue summary'!$C$81</f>
        <v>Section 118-D: Net revenue by tariff</v>
      </c>
    </row>
    <row r="201" spans="6:7" x14ac:dyDescent="0.25">
      <c r="F201" s="302" t="s">
        <v>115</v>
      </c>
      <c r="G201" s="58" t="str">
        <f ca="1">'Net revenue summary'!$C$113</f>
        <v>Section 118-E: Net revenue summary (for information only)</v>
      </c>
    </row>
    <row r="202" spans="6:7" x14ac:dyDescent="0.25">
      <c r="F202" s="302" t="s">
        <v>115</v>
      </c>
      <c r="G202" s="58" t="str">
        <f ca="1">'Net revenue summary'!$C$126</f>
        <v>Section 118-F: Typical bills</v>
      </c>
    </row>
    <row r="203" spans="6:7" x14ac:dyDescent="0.25">
      <c r="F203" s="302" t="s">
        <v>115</v>
      </c>
      <c r="G203" s="58" t="str">
        <f ca="1">'Net revenue summary'!$C$132</f>
        <v>Section 118-G: Average bill per kWh</v>
      </c>
    </row>
    <row r="204" spans="6:7" x14ac:dyDescent="0.25">
      <c r="F204" s="302" t="s">
        <v>115</v>
      </c>
      <c r="G204" s="58" t="str">
        <f ca="1">'Net revenue summary'!$C$140</f>
        <v>Section 118-H: Previous year all the way tariff forecast</v>
      </c>
    </row>
    <row r="205" spans="6:7" x14ac:dyDescent="0.25">
      <c r="F205" s="302" t="s">
        <v>115</v>
      </c>
      <c r="G205" s="58" t="str">
        <f ca="1">'Net revenue summary'!$C$151</f>
        <v>Section 118-I: Previous year net revenue from all the way tariff forecast</v>
      </c>
    </row>
    <row r="206" spans="6:7" x14ac:dyDescent="0.25">
      <c r="F206" s="302" t="s">
        <v>115</v>
      </c>
      <c r="G206" s="58" t="str">
        <f ca="1">'Net revenue summary'!$C$166</f>
        <v>Section 118-J: LDNO typical bills using all-the-way volumes</v>
      </c>
    </row>
    <row r="207" spans="6:7" ht="15.75" thickBot="1" x14ac:dyDescent="0.3">
      <c r="F207" s="302" t="s">
        <v>115</v>
      </c>
      <c r="G207" s="58" t="str">
        <f ca="1">'Net revenue summary'!$C$190</f>
        <v>Section 118-K: LDNO margins</v>
      </c>
    </row>
    <row r="208" spans="6:7" ht="16.5" thickTop="1" thickBot="1" x14ac:dyDescent="0.3">
      <c r="F208" s="305" t="s">
        <v>95</v>
      </c>
      <c r="G208" s="58" t="str">
        <f>'Tariff summary'!$C$13</f>
        <v>Output 101-A: Tariffs for 2021/22</v>
      </c>
    </row>
    <row r="209" spans="2:7" ht="15.75" thickTop="1" x14ac:dyDescent="0.25">
      <c r="F209" s="305" t="s">
        <v>97</v>
      </c>
      <c r="G209" s="58" t="str">
        <f ca="1">'Output to other models'!$C$14</f>
        <v>Output 102-A: CDCM notional EHV asset values</v>
      </c>
    </row>
    <row r="210" spans="2:7" x14ac:dyDescent="0.25">
      <c r="F210" s="304" t="s">
        <v>115</v>
      </c>
      <c r="G210" s="58" t="str">
        <f ca="1">'Output to other models'!$C$27</f>
        <v>Output 102-B: CDCM end user tariff forecast</v>
      </c>
    </row>
    <row r="211" spans="2:7" x14ac:dyDescent="0.25">
      <c r="F211" s="304" t="s">
        <v>115</v>
      </c>
      <c r="G211" s="58" t="str">
        <f ca="1">'Output to other models'!$C$45</f>
        <v>Output 102-C: CDCM non-tariff outputs to EDCM</v>
      </c>
    </row>
    <row r="212" spans="2:7" x14ac:dyDescent="0.25">
      <c r="F212" s="304" t="s">
        <v>115</v>
      </c>
      <c r="G212" s="58" t="str">
        <f ca="1">'Output to other models'!$C$57</f>
        <v>Output 102-D: Outputs for DNOs' internal use</v>
      </c>
    </row>
    <row r="213" spans="2:7" x14ac:dyDescent="0.25">
      <c r="F213" s="304" t="s">
        <v>115</v>
      </c>
      <c r="G213" s="58" t="str">
        <f ca="1">'Output to other models'!$C$67</f>
        <v>Output 102-E: Outputs for IDNOs' internal use</v>
      </c>
    </row>
    <row r="215" spans="2:7" x14ac:dyDescent="0.25">
      <c r="B215" s="30" t="s">
        <v>105</v>
      </c>
      <c r="C215" s="30"/>
      <c r="D215" s="30"/>
      <c r="E215" s="30"/>
      <c r="F215" s="30"/>
      <c r="G215" s="30"/>
    </row>
  </sheetData>
  <sheetProtection sheet="1" objects="1" formatCells="0" formatColumns="0" formatRows="0" sort="0" autoFilter="0"/>
  <hyperlinks>
    <hyperlink ref="F15" location="'Cover'!A4" display="'" xr:uid="{00000000-0004-0000-0300-000000000000}"/>
    <hyperlink ref="F16" location="'Version control'!A4" display="'" xr:uid="{00000000-0004-0000-0300-000001000000}"/>
    <hyperlink ref="G16" location="'Version control'!$B$5" display="'Version control'!$B$5" xr:uid="{00000000-0004-0000-0300-000002000000}"/>
    <hyperlink ref="F17" location="'Version control'!A4" display="'" xr:uid="{00000000-0004-0000-0300-000003000000}"/>
    <hyperlink ref="G17" location="'Version control'!$B$17" display="'Version control'!$B$17" xr:uid="{00000000-0004-0000-0300-000004000000}"/>
    <hyperlink ref="F18" location="'Version control'!A4" display="'" xr:uid="{00000000-0004-0000-0300-000005000000}"/>
    <hyperlink ref="G18" location="'Version control'!$B$31" display="'Version control'!$B$31" xr:uid="{00000000-0004-0000-0300-000006000000}"/>
    <hyperlink ref="F19" location="'Version control'!A4" display="'" xr:uid="{00000000-0004-0000-0300-000007000000}"/>
    <hyperlink ref="G19" location="'Version control'!$B$60" display="'Version control'!$B$60" xr:uid="{00000000-0004-0000-0300-000008000000}"/>
    <hyperlink ref="F20" location="'Model map'!A4" display="'" xr:uid="{00000000-0004-0000-0300-000009000000}"/>
    <hyperlink ref="G20" location="'Model map'!$B$5" display="'Model map'!$B$5" xr:uid="{00000000-0004-0000-0300-00000A000000}"/>
    <hyperlink ref="F21" location="'Named ranges'!A4" display="'" xr:uid="{00000000-0004-0000-0300-00000B000000}"/>
    <hyperlink ref="G21" location="'Named ranges'!$B$5" display="'Named ranges'!$B$5" xr:uid="{00000000-0004-0000-0300-00000C000000}"/>
    <hyperlink ref="F22" location="'Fixed inputs'!A4" display="'" xr:uid="{00000000-0004-0000-0300-00000D000000}"/>
    <hyperlink ref="G22" location="'Fixed inputs'!$B$11" display="'Fixed inputs'!$B$11" xr:uid="{00000000-0004-0000-0300-00000E000000}"/>
    <hyperlink ref="F23" location="'Inputs by customer type'!A4" display="'" xr:uid="{00000000-0004-0000-0300-00000F000000}"/>
    <hyperlink ref="G23" location="'Inputs by customer type'!$B$11" display="'Inputs by customer type'!$B$11" xr:uid="{00000000-0004-0000-0300-000010000000}"/>
    <hyperlink ref="F24" location="'Inputs by network level'!A4" display="'" xr:uid="{00000000-0004-0000-0300-000011000000}"/>
    <hyperlink ref="G24" location="'Inputs by network level'!$B$11" display="'Inputs by network level'!$B$11" xr:uid="{00000000-0004-0000-0300-000012000000}"/>
    <hyperlink ref="F25" location="'General inputs'!A4" display="'" xr:uid="{00000000-0004-0000-0300-000013000000}"/>
    <hyperlink ref="G25" location="'General inputs'!$B$11" display="'General inputs'!$B$11" xr:uid="{00000000-0004-0000-0300-000014000000}"/>
    <hyperlink ref="F26" location="'Standing charge factors'!A4" display="'" xr:uid="{00000000-0004-0000-0300-000015000000}"/>
    <hyperlink ref="G26" location="'Standing charge factors'!$B$17" display="'Standing charge factors'!$B$17" xr:uid="{00000000-0004-0000-0300-000016000000}"/>
    <hyperlink ref="F27" location="'Load &amp; loss characteristics'!A4" display="'" xr:uid="{00000000-0004-0000-0300-000017000000}"/>
    <hyperlink ref="G27" location="'Load &amp; loss characteristics'!$B$13" display="'Load &amp; loss characteristics'!$B$13" xr:uid="{00000000-0004-0000-0300-000018000000}"/>
    <hyperlink ref="F28" location="'Load &amp; loss characteristics'!A4" display="'" xr:uid="{00000000-0004-0000-0300-000019000000}"/>
    <hyperlink ref="G28" location="'Load &amp; loss characteristics'!$B$31" display="'Load &amp; loss characteristics'!$B$31" xr:uid="{00000000-0004-0000-0300-00001A000000}"/>
    <hyperlink ref="F29" location="'Customer contributions'!A4" display="'" xr:uid="{00000000-0004-0000-0300-00001B000000}"/>
    <hyperlink ref="G29" location="'Customer contributions'!$B$12" display="'Customer contributions'!$B$12" xr:uid="{00000000-0004-0000-0300-00001C000000}"/>
    <hyperlink ref="F30" location="'Volume adjustments'!A4" display="'" xr:uid="{00000000-0004-0000-0300-00001D000000}"/>
    <hyperlink ref="G30" location="'Volume adjustments'!$B$13" display="'Volume adjustments'!$B$13" xr:uid="{00000000-0004-0000-0300-00001E000000}"/>
    <hyperlink ref="F31" location="'Volume adjustments'!A4" display="'" xr:uid="{00000000-0004-0000-0300-00001F000000}"/>
    <hyperlink ref="G31" location="'Volume adjustments'!$B$51" display="'Volume adjustments'!$B$51" xr:uid="{00000000-0004-0000-0300-000020000000}"/>
    <hyperlink ref="F32" location="'Pseudo-load coefficients'!A4" display="'" xr:uid="{00000000-0004-0000-0300-000021000000}"/>
    <hyperlink ref="G32" location="'Pseudo-load coefficients'!$B$13" display="'Pseudo-load coefficients'!$B$13" xr:uid="{00000000-0004-0000-0300-000022000000}"/>
    <hyperlink ref="F33" location="'Pseudo-load coefficients'!A4" display="'" xr:uid="{00000000-0004-0000-0300-000023000000}"/>
    <hyperlink ref="G33" location="'Pseudo-load coefficients'!$B$56" display="'Pseudo-load coefficients'!$B$56" xr:uid="{00000000-0004-0000-0300-000024000000}"/>
    <hyperlink ref="F34" location="'Pseudo-load coefficients'!A4" display="'" xr:uid="{00000000-0004-0000-0300-000025000000}"/>
    <hyperlink ref="G34" location="'Pseudo-load coefficients'!$B$95" display="'Pseudo-load coefficients'!$B$95" xr:uid="{00000000-0004-0000-0300-000026000000}"/>
    <hyperlink ref="F35" location="'Pseudo-load coefficients'!A4" display="'" xr:uid="{00000000-0004-0000-0300-000027000000}"/>
    <hyperlink ref="G35" location="'Pseudo-load coefficients'!$B$261" display="'Pseudo-load coefficients'!$B$261" xr:uid="{00000000-0004-0000-0300-000028000000}"/>
    <hyperlink ref="F36" location="'System peak demand'!A4" display="'" xr:uid="{00000000-0004-0000-0300-000029000000}"/>
    <hyperlink ref="G36" location="'System peak demand'!$B$16" display="'System peak demand'!$B$16" xr:uid="{00000000-0004-0000-0300-00002A000000}"/>
    <hyperlink ref="F37" location="'System peak demand'!A4" display="'" xr:uid="{00000000-0004-0000-0300-00002B000000}"/>
    <hyperlink ref="G37" location="'System peak demand'!$B$63" display="'System peak demand'!$B$63" xr:uid="{00000000-0004-0000-0300-00002C000000}"/>
    <hyperlink ref="F38" location="'System peak demand'!A4" display="'" xr:uid="{00000000-0004-0000-0300-00002D000000}"/>
    <hyperlink ref="G38" location="'System peak demand'!$B$179" display="'System peak demand'!$B$179" xr:uid="{00000000-0004-0000-0300-00002E000000}"/>
    <hyperlink ref="F39" location="'System peak demand'!A4" display="'" xr:uid="{00000000-0004-0000-0300-00002F000000}"/>
    <hyperlink ref="G39" location="'System peak demand'!$B$262" display="'System peak demand'!$B$262" xr:uid="{00000000-0004-0000-0300-000030000000}"/>
    <hyperlink ref="F40" location="'Service model assets'!A4" display="'" xr:uid="{00000000-0004-0000-0300-000031000000}"/>
    <hyperlink ref="G40" location="'Service model assets'!$B$12" display="'Service model assets'!$B$12" xr:uid="{00000000-0004-0000-0300-000032000000}"/>
    <hyperlink ref="F41" location="'Unit costs'!A4" display="'" xr:uid="{00000000-0004-0000-0300-000033000000}"/>
    <hyperlink ref="G41" location="'Unit costs'!$B$15" display="'Unit costs'!$B$15" xr:uid="{00000000-0004-0000-0300-000034000000}"/>
    <hyperlink ref="F42" location="'Unit costs'!A4" display="'" xr:uid="{00000000-0004-0000-0300-000035000000}"/>
    <hyperlink ref="G42" location="'Unit costs'!$B$58" display="'Unit costs'!$B$58" xr:uid="{00000000-0004-0000-0300-000036000000}"/>
    <hyperlink ref="F43" location="'Unit costs'!A4" display="'" xr:uid="{00000000-0004-0000-0300-000037000000}"/>
    <hyperlink ref="G43" location="'Unit costs'!$B$102" display="'Unit costs'!$B$102" xr:uid="{00000000-0004-0000-0300-000038000000}"/>
    <hyperlink ref="F44" location="'Initial unit rates'!A4" display="'" xr:uid="{00000000-0004-0000-0300-000039000000}"/>
    <hyperlink ref="G44" location="'Initial unit rates'!$B$11" display="'Initial unit rates'!$B$11" xr:uid="{00000000-0004-0000-0300-00003A000000}"/>
    <hyperlink ref="F45" location="'Initial unit rates'!A4" display="'" xr:uid="{00000000-0004-0000-0300-00003B000000}"/>
    <hyperlink ref="G45" location="'Initial unit rates'!$B$116" display="'Initial unit rates'!$B$116" xr:uid="{00000000-0004-0000-0300-00003C000000}"/>
    <hyperlink ref="F46" location="'Service model charges'!A4" display="'" xr:uid="{00000000-0004-0000-0300-00003D000000}"/>
    <hyperlink ref="G46" location="'Service model charges'!$B$13" display="'Service model charges'!$B$13" xr:uid="{00000000-0004-0000-0300-00003E000000}"/>
    <hyperlink ref="F47" location="'Service model charges'!A4" display="'" xr:uid="{00000000-0004-0000-0300-00003F000000}"/>
    <hyperlink ref="G47" location="'Service model charges'!$B$29" display="'Service model charges'!$B$29" xr:uid="{00000000-0004-0000-0300-000040000000}"/>
    <hyperlink ref="F48" location="'Unit rate charges'!A4" display="'" xr:uid="{00000000-0004-0000-0300-000041000000}"/>
    <hyperlink ref="G48" location="'Unit rate charges'!$B$15" display="'Unit rate charges'!$B$15" xr:uid="{00000000-0004-0000-0300-000042000000}"/>
    <hyperlink ref="F49" location="'Unit rate charges'!A4" display="'" xr:uid="{00000000-0004-0000-0300-000043000000}"/>
    <hyperlink ref="G49" location="'Unit rate charges'!$B$122" display="'Unit rate charges'!$B$122" xr:uid="{00000000-0004-0000-0300-000044000000}"/>
    <hyperlink ref="F50" location="'Reactive power charges'!A4" display="'" xr:uid="{00000000-0004-0000-0300-000045000000}"/>
    <hyperlink ref="G50" location="'Reactive power charges'!$B$13" display="'Reactive power charges'!$B$13" xr:uid="{00000000-0004-0000-0300-000046000000}"/>
    <hyperlink ref="F51" location="'Reactive power charges'!A4" display="'" xr:uid="{00000000-0004-0000-0300-000047000000}"/>
    <hyperlink ref="G51" location="'Reactive power charges'!$B$150" display="'Reactive power charges'!$B$150" xr:uid="{00000000-0004-0000-0300-000048000000}"/>
    <hyperlink ref="F52" location="'Reactive power charges'!A4" display="'" xr:uid="{00000000-0004-0000-0300-000049000000}"/>
    <hyperlink ref="G52" location="'Reactive power charges'!$B$185" display="'Reactive power charges'!$B$185" xr:uid="{00000000-0004-0000-0300-00004A000000}"/>
    <hyperlink ref="F53" location="'Capacity charges'!A4" display="'" xr:uid="{00000000-0004-0000-0300-00004B000000}"/>
    <hyperlink ref="G53" location="'Capacity charges'!$B$17" display="'Capacity charges'!$B$17" xr:uid="{00000000-0004-0000-0300-00004C000000}"/>
    <hyperlink ref="F54" location="'Capacity charges'!A4" display="'" xr:uid="{00000000-0004-0000-0300-00004D000000}"/>
    <hyperlink ref="G54" location="'Capacity charges'!$B$125" display="'Capacity charges'!$B$125" xr:uid="{00000000-0004-0000-0300-00004E000000}"/>
    <hyperlink ref="F55" location="'Capacity charges'!A4" display="'" xr:uid="{00000000-0004-0000-0300-00004F000000}"/>
    <hyperlink ref="G55" location="'Capacity charges'!$B$249" display="'Capacity charges'!$B$249" xr:uid="{00000000-0004-0000-0300-000050000000}"/>
    <hyperlink ref="F56" location="'Fixed charges'!A4" display="'" xr:uid="{00000000-0004-0000-0300-000051000000}"/>
    <hyperlink ref="G56" location="'Fixed charges'!$B$14" display="'Fixed charges'!$B$14" xr:uid="{00000000-0004-0000-0300-000052000000}"/>
    <hyperlink ref="F57" location="'Fixed charges'!A4" display="'" xr:uid="{00000000-0004-0000-0300-000053000000}"/>
    <hyperlink ref="G57" location="'Fixed charges'!$B$65" display="'Fixed charges'!$B$65" xr:uid="{00000000-0004-0000-0300-000054000000}"/>
    <hyperlink ref="F58" location="'Revenue matching'!A4" display="'" xr:uid="{00000000-0004-0000-0300-000055000000}"/>
    <hyperlink ref="G58" location="'Revenue matching'!$B$13" display="'Revenue matching'!$B$13" xr:uid="{00000000-0004-0000-0300-000056000000}"/>
    <hyperlink ref="F59" location="'Revenue matching'!A4" display="'" xr:uid="{00000000-0004-0000-0300-000057000000}"/>
    <hyperlink ref="G59" location="'Revenue matching'!$B$62" display="'Revenue matching'!$B$62" xr:uid="{00000000-0004-0000-0300-000058000000}"/>
    <hyperlink ref="F60" location="'Fixed charge adder'!A4" display="'" xr:uid="{00000000-0004-0000-0300-000059000000}"/>
    <hyperlink ref="G60" location="'Fixed charge adder'!$B$12" display="'Fixed charge adder'!$B$12" xr:uid="{00000000-0004-0000-0300-00005A000000}"/>
    <hyperlink ref="F61" location="'Rounding'!A4" display="'" xr:uid="{00000000-0004-0000-0300-00005B000000}"/>
    <hyperlink ref="G61" location="'Rounding'!$B$12" display="'Rounding'!$B$12" xr:uid="{00000000-0004-0000-0300-00005C000000}"/>
    <hyperlink ref="F62" location="'Rounding'!A4" display="'" xr:uid="{00000000-0004-0000-0300-00005D000000}"/>
    <hyperlink ref="G62" location="'Rounding'!$B$83" display="'Rounding'!$B$83" xr:uid="{00000000-0004-0000-0300-00005E000000}"/>
    <hyperlink ref="F63" location="'Net revenue summary'!A4" display="'" xr:uid="{00000000-0004-0000-0300-00005F000000}"/>
    <hyperlink ref="G63" location="'Net revenue summary'!$B$11" display="'Net revenue summary'!$B$11" xr:uid="{00000000-0004-0000-0300-000060000000}"/>
    <hyperlink ref="F64" location="'Net revenue summary'!A4" display="'" xr:uid="{00000000-0004-0000-0300-000061000000}"/>
    <hyperlink ref="G64" location="'Net revenue summary'!$B$79" display="'Net revenue summary'!$B$79" xr:uid="{00000000-0004-0000-0300-000062000000}"/>
    <hyperlink ref="F65" location="'Net revenue summary'!A4" display="'" xr:uid="{00000000-0004-0000-0300-000063000000}"/>
    <hyperlink ref="G65" location="'Net revenue summary'!$B$138" display="'Net revenue summary'!$B$138" xr:uid="{00000000-0004-0000-0300-000064000000}"/>
    <hyperlink ref="F66" location="'Net revenue summary'!A4" display="'" xr:uid="{00000000-0004-0000-0300-000065000000}"/>
    <hyperlink ref="G66" location="'Net revenue summary'!$B$164" display="'Net revenue summary'!$B$164" xr:uid="{00000000-0004-0000-0300-000066000000}"/>
    <hyperlink ref="F67" location="'Tariff summary'!A4" display="'" xr:uid="{00000000-0004-0000-0300-000067000000}"/>
    <hyperlink ref="G67" location="'Tariff summary'!$B$11" display="'Tariff summary'!$B$11" xr:uid="{00000000-0004-0000-0300-000068000000}"/>
    <hyperlink ref="F68" location="'Output to other models'!A4" display="'" xr:uid="{00000000-0004-0000-0300-000069000000}"/>
    <hyperlink ref="G68" location="'Output to other models'!$B$12" display="'Output to other models'!$B$12" xr:uid="{00000000-0004-0000-0300-00006A000000}"/>
    <hyperlink ref="F69" location="'Output to other models'!A4" display="'" xr:uid="{00000000-0004-0000-0300-00006B000000}"/>
    <hyperlink ref="G69" location="'Output to other models'!$B$25" display="'Output to other models'!$B$25" xr:uid="{00000000-0004-0000-0300-00006C000000}"/>
    <hyperlink ref="F70" location="'Output to other models'!A4" display="'" xr:uid="{00000000-0004-0000-0300-00006D000000}"/>
    <hyperlink ref="G70" location="'Output to other models'!$B$55" display="'Output to other models'!$B$55" xr:uid="{00000000-0004-0000-0300-00006E000000}"/>
    <hyperlink ref="F77" location="'Fixed inputs'!A4" display="'" xr:uid="{00000000-0004-0000-0300-00006F000000}"/>
    <hyperlink ref="G77" location="'Fixed inputs'!$C$13" display="'Fixed inputs'!$C$13" xr:uid="{00000000-0004-0000-0300-000070000000}"/>
    <hyperlink ref="F78" location="'Fixed inputs'!A4" display="'" xr:uid="{00000000-0004-0000-0300-000071000000}"/>
    <hyperlink ref="G78" location="'Fixed inputs'!$C$20" display="'Fixed inputs'!$C$20" xr:uid="{00000000-0004-0000-0300-000072000000}"/>
    <hyperlink ref="F79" location="'Fixed inputs'!A4" display="'" xr:uid="{00000000-0004-0000-0300-000073000000}"/>
    <hyperlink ref="G79" location="'Fixed inputs'!$C$33" display="'Fixed inputs'!$C$33" xr:uid="{00000000-0004-0000-0300-000074000000}"/>
    <hyperlink ref="F80" location="'Fixed inputs'!A4" display="'" xr:uid="{00000000-0004-0000-0300-000075000000}"/>
    <hyperlink ref="G80" location="'Fixed inputs'!$C$43" display="'Fixed inputs'!$C$43" xr:uid="{00000000-0004-0000-0300-000076000000}"/>
    <hyperlink ref="F81" location="'Fixed inputs'!A4" display="'" xr:uid="{00000000-0004-0000-0300-000077000000}"/>
    <hyperlink ref="G81" location="'Fixed inputs'!$C$84" display="'Fixed inputs'!$C$84" xr:uid="{00000000-0004-0000-0300-000078000000}"/>
    <hyperlink ref="F82" location="'Fixed inputs'!A4" display="'" xr:uid="{00000000-0004-0000-0300-000079000000}"/>
    <hyperlink ref="G82" location="'Fixed inputs'!$C$99" display="'Fixed inputs'!$C$99" xr:uid="{00000000-0004-0000-0300-00007A000000}"/>
    <hyperlink ref="F83" location="'Fixed inputs'!A4" display="'" xr:uid="{00000000-0004-0000-0300-00007B000000}"/>
    <hyperlink ref="G83" location="'Fixed inputs'!$C$141" display="'Fixed inputs'!$C$141" xr:uid="{00000000-0004-0000-0300-00007C000000}"/>
    <hyperlink ref="F84" location="'Fixed inputs'!A4" display="'" xr:uid="{00000000-0004-0000-0300-00007D000000}"/>
    <hyperlink ref="G84" location="'Fixed inputs'!$C$151" display="'Fixed inputs'!$C$151" xr:uid="{00000000-0004-0000-0300-00007E000000}"/>
    <hyperlink ref="F85" location="'Fixed inputs'!A4" display="'" xr:uid="{00000000-0004-0000-0300-00007F000000}"/>
    <hyperlink ref="G85" location="'Fixed inputs'!$C$155" display="'Fixed inputs'!$C$155" xr:uid="{00000000-0004-0000-0300-000080000000}"/>
    <hyperlink ref="F86" location="'Inputs by customer type'!A4" display="'" xr:uid="{00000000-0004-0000-0300-000081000000}"/>
    <hyperlink ref="G86" location="'Inputs by customer type'!$C$13" display="'Inputs by customer type'!$C$13" xr:uid="{00000000-0004-0000-0300-000082000000}"/>
    <hyperlink ref="F87" location="'Inputs by customer type'!A4" display="'" xr:uid="{00000000-0004-0000-0300-000083000000}"/>
    <hyperlink ref="G87" location="'Inputs by customer type'!$C$18" display="'Inputs by customer type'!$C$18" xr:uid="{00000000-0004-0000-0300-000084000000}"/>
    <hyperlink ref="F88" location="'Inputs by customer type'!A4" display="'" xr:uid="{00000000-0004-0000-0300-000085000000}"/>
    <hyperlink ref="G88" location="'Inputs by customer type'!$C$49" display="'Inputs by customer type'!$C$49" xr:uid="{00000000-0004-0000-0300-000086000000}"/>
    <hyperlink ref="F89" location="'Inputs by customer type'!A4" display="'" xr:uid="{00000000-0004-0000-0300-000087000000}"/>
    <hyperlink ref="G89" location="'Inputs by customer type'!$C$58" display="'Inputs by customer type'!$C$58" xr:uid="{00000000-0004-0000-0300-000088000000}"/>
    <hyperlink ref="F90" location="'Inputs by customer type'!A4" display="'" xr:uid="{00000000-0004-0000-0300-000089000000}"/>
    <hyperlink ref="G90" location="'Inputs by customer type'!$C$72" display="'Inputs by customer type'!$C$72" xr:uid="{00000000-0004-0000-0300-00008A000000}"/>
    <hyperlink ref="F91" location="'Inputs by network level'!A4" display="'" xr:uid="{00000000-0004-0000-0300-00008B000000}"/>
    <hyperlink ref="G91" location="'Inputs by network level'!$C$13" display="'Inputs by network level'!$C$13" xr:uid="{00000000-0004-0000-0300-00008C000000}"/>
    <hyperlink ref="F92" location="'Inputs by network level'!A4" display="'" xr:uid="{00000000-0004-0000-0300-00008D000000}"/>
    <hyperlink ref="G92" location="'Inputs by network level'!$C$23" display="'Inputs by network level'!$C$23" xr:uid="{00000000-0004-0000-0300-00008E000000}"/>
    <hyperlink ref="F93" location="'Inputs by network level'!A4" display="'" xr:uid="{00000000-0004-0000-0300-00008F000000}"/>
    <hyperlink ref="G93" location="'Inputs by network level'!$C$31" display="'Inputs by network level'!$C$31" xr:uid="{00000000-0004-0000-0300-000090000000}"/>
    <hyperlink ref="F94" location="'Inputs by network level'!A4" display="'" xr:uid="{00000000-0004-0000-0300-000091000000}"/>
    <hyperlink ref="G94" location="'Inputs by network level'!$C$35" display="'Inputs by network level'!$C$35" xr:uid="{00000000-0004-0000-0300-000092000000}"/>
    <hyperlink ref="F95" location="'General inputs'!A4" display="'" xr:uid="{00000000-0004-0000-0300-000093000000}"/>
    <hyperlink ref="G95" location="'General inputs'!$C$13" display="'General inputs'!$C$13" xr:uid="{00000000-0004-0000-0300-000094000000}"/>
    <hyperlink ref="F96" location="'General inputs'!A4" display="'" xr:uid="{00000000-0004-0000-0300-000095000000}"/>
    <hyperlink ref="G96" location="'General inputs'!$C$25" display="'General inputs'!$C$25" xr:uid="{00000000-0004-0000-0300-000096000000}"/>
    <hyperlink ref="F97" location="'General inputs'!A4" display="'" xr:uid="{00000000-0004-0000-0300-000097000000}"/>
    <hyperlink ref="G97" location="'General inputs'!$C$35" display="'General inputs'!$C$35" xr:uid="{00000000-0004-0000-0300-000098000000}"/>
    <hyperlink ref="F98" location="'General inputs'!A4" display="'" xr:uid="{00000000-0004-0000-0300-000099000000}"/>
    <hyperlink ref="G98" location="'General inputs'!$C$89" display="'General inputs'!$C$89" xr:uid="{00000000-0004-0000-0300-00009A000000}"/>
    <hyperlink ref="F99" location="'General inputs'!A4" display="'" xr:uid="{00000000-0004-0000-0300-00009B000000}"/>
    <hyperlink ref="G99" location="'General inputs'!$C$95" display="'General inputs'!$C$95" xr:uid="{00000000-0004-0000-0300-00009C000000}"/>
    <hyperlink ref="F100" location="'General inputs'!A4" display="'" xr:uid="{00000000-0004-0000-0300-00009D000000}"/>
    <hyperlink ref="G100" location="'General inputs'!$C$99" display="'General inputs'!$C$99" xr:uid="{00000000-0004-0000-0300-00009E000000}"/>
    <hyperlink ref="F101" location="'Standing charge factors'!A4" display="'" xr:uid="{00000000-0004-0000-0300-00009F000000}"/>
    <hyperlink ref="G101" location="'Standing charge factors'!$C$19" display="'Standing charge factors'!$C$19" xr:uid="{00000000-0004-0000-0300-0000A0000000}"/>
    <hyperlink ref="F102" location="'Load &amp; loss characteristics'!A4" display="'" xr:uid="{00000000-0004-0000-0300-0000A1000000}"/>
    <hyperlink ref="G102" location="'Load &amp; loss characteristics'!$C$17" display="'Load &amp; loss characteristics'!$C$17" xr:uid="{00000000-0004-0000-0300-0000A2000000}"/>
    <hyperlink ref="F103" location="'Load &amp; loss characteristics'!A4" display="'" xr:uid="{00000000-0004-0000-0300-0000A3000000}"/>
    <hyperlink ref="G103" location="'Load &amp; loss characteristics'!$C$25" display="'Load &amp; loss characteristics'!$C$25" xr:uid="{00000000-0004-0000-0300-0000A4000000}"/>
    <hyperlink ref="F104" location="'Load &amp; loss characteristics'!A4" display="'" xr:uid="{00000000-0004-0000-0300-0000A5000000}"/>
    <hyperlink ref="G104" location="'Load &amp; loss characteristics'!$C$35" display="'Load &amp; loss characteristics'!$C$35" xr:uid="{00000000-0004-0000-0300-0000A6000000}"/>
    <hyperlink ref="F105" location="'Load &amp; loss characteristics'!A4" display="'" xr:uid="{00000000-0004-0000-0300-0000A7000000}"/>
    <hyperlink ref="G105" location="'Load &amp; loss characteristics'!$C$40" display="'Load &amp; loss characteristics'!$C$40" xr:uid="{00000000-0004-0000-0300-0000A8000000}"/>
    <hyperlink ref="F106" location="'Load &amp; loss characteristics'!A4" display="'" xr:uid="{00000000-0004-0000-0300-0000A9000000}"/>
    <hyperlink ref="G106" location="'Load &amp; loss characteristics'!$C$133" display="'Load &amp; loss characteristics'!$C$133" xr:uid="{00000000-0004-0000-0300-0000AA000000}"/>
    <hyperlink ref="F107" location="'Customer contributions'!A4" display="'" xr:uid="{00000000-0004-0000-0300-0000AB000000}"/>
    <hyperlink ref="G107" location="'Customer contributions'!$C$16" display="'Customer contributions'!$C$16" xr:uid="{00000000-0004-0000-0300-0000AC000000}"/>
    <hyperlink ref="F108" location="'Customer contributions'!A4" display="'" xr:uid="{00000000-0004-0000-0300-0000AD000000}"/>
    <hyperlink ref="G108" location="'Customer contributions'!$C$41" display="'Customer contributions'!$C$41" xr:uid="{00000000-0004-0000-0300-0000AE000000}"/>
    <hyperlink ref="F109" location="'Volume adjustments'!A4" display="'" xr:uid="{00000000-0004-0000-0300-0000AF000000}"/>
    <hyperlink ref="G109" location="'Volume adjustments'!$C$15" display="'Volume adjustments'!$C$15" xr:uid="{00000000-0004-0000-0300-0000B0000000}"/>
    <hyperlink ref="F110" location="'Volume adjustments'!A4" display="'" xr:uid="{00000000-0004-0000-0300-0000B1000000}"/>
    <hyperlink ref="G110" location="'Volume adjustments'!$C$55" display="'Volume adjustments'!$C$55" xr:uid="{00000000-0004-0000-0300-0000B2000000}"/>
    <hyperlink ref="F111" location="'Pseudo-load coefficients'!A4" display="'" xr:uid="{00000000-0004-0000-0300-0000B3000000}"/>
    <hyperlink ref="G111" location="'Pseudo-load coefficients'!$C$18" display="'Pseudo-load coefficients'!$C$18" xr:uid="{00000000-0004-0000-0300-0000B4000000}"/>
    <hyperlink ref="F112" location="'Pseudo-load coefficients'!A4" display="'" xr:uid="{00000000-0004-0000-0300-0000B5000000}"/>
    <hyperlink ref="G112" location="'Pseudo-load coefficients'!$C$28" display="'Pseudo-load coefficients'!$C$28" xr:uid="{00000000-0004-0000-0300-0000B6000000}"/>
    <hyperlink ref="F113" location="'Pseudo-load coefficients'!A4" display="'" xr:uid="{00000000-0004-0000-0300-0000B7000000}"/>
    <hyperlink ref="G113" location="'Pseudo-load coefficients'!$C$36" display="'Pseudo-load coefficients'!$C$36" xr:uid="{00000000-0004-0000-0300-0000B8000000}"/>
    <hyperlink ref="F114" location="'Pseudo-load coefficients'!A4" display="'" xr:uid="{00000000-0004-0000-0300-0000B9000000}"/>
    <hyperlink ref="G114" location="'Pseudo-load coefficients'!$C$52" display="'Pseudo-load coefficients'!$C$52" xr:uid="{00000000-0004-0000-0300-0000BA000000}"/>
    <hyperlink ref="F115" location="'Pseudo-load coefficients'!A4" display="'" xr:uid="{00000000-0004-0000-0300-0000BB000000}"/>
    <hyperlink ref="G115" location="'Pseudo-load coefficients'!$C$60" display="'Pseudo-load coefficients'!$C$60" xr:uid="{00000000-0004-0000-0300-0000BC000000}"/>
    <hyperlink ref="F116" location="'Pseudo-load coefficients'!A4" display="'" xr:uid="{00000000-0004-0000-0300-0000BD000000}"/>
    <hyperlink ref="G116" location="'Pseudo-load coefficients'!$C$65" display="'Pseudo-load coefficients'!$C$65" xr:uid="{00000000-0004-0000-0300-0000BE000000}"/>
    <hyperlink ref="F117" location="'Pseudo-load coefficients'!A4" display="'" xr:uid="{00000000-0004-0000-0300-0000BF000000}"/>
    <hyperlink ref="G117" location="'Pseudo-load coefficients'!$C$87" display="'Pseudo-load coefficients'!$C$87" xr:uid="{00000000-0004-0000-0300-0000C0000000}"/>
    <hyperlink ref="F118" location="'Pseudo-load coefficients'!A4" display="'" xr:uid="{00000000-0004-0000-0300-0000C1000000}"/>
    <hyperlink ref="G118" location="'Pseudo-load coefficients'!$C$100" display="'Pseudo-load coefficients'!$C$100" xr:uid="{00000000-0004-0000-0300-0000C2000000}"/>
    <hyperlink ref="F119" location="'Pseudo-load coefficients'!A4" display="'" xr:uid="{00000000-0004-0000-0300-0000C3000000}"/>
    <hyperlink ref="G119" location="'Pseudo-load coefficients'!$C$174" display="'Pseudo-load coefficients'!$C$174" xr:uid="{00000000-0004-0000-0300-0000C4000000}"/>
    <hyperlink ref="F120" location="'Pseudo-load coefficients'!A4" display="'" xr:uid="{00000000-0004-0000-0300-0000C5000000}"/>
    <hyperlink ref="G120" location="'Pseudo-load coefficients'!$C$221" display="'Pseudo-load coefficients'!$C$221" xr:uid="{00000000-0004-0000-0300-0000C6000000}"/>
    <hyperlink ref="F121" location="'Pseudo-load coefficients'!A4" display="'" xr:uid="{00000000-0004-0000-0300-0000C7000000}"/>
    <hyperlink ref="G121" location="'Pseudo-load coefficients'!$C$265" display="'Pseudo-load coefficients'!$C$265" xr:uid="{00000000-0004-0000-0300-0000C8000000}"/>
    <hyperlink ref="F122" location="'Pseudo-load coefficients'!A4" display="'" xr:uid="{00000000-0004-0000-0300-0000C9000000}"/>
    <hyperlink ref="G122" location="'Pseudo-load coefficients'!$C$269" display="'Pseudo-load coefficients'!$C$269" xr:uid="{00000000-0004-0000-0300-0000CA000000}"/>
    <hyperlink ref="F123" location="'System peak demand'!A4" display="'" xr:uid="{00000000-0004-0000-0300-0000CB000000}"/>
    <hyperlink ref="G123" location="'System peak demand'!$C$18" display="'System peak demand'!$C$18" xr:uid="{00000000-0004-0000-0300-0000CC000000}"/>
    <hyperlink ref="F124" location="'System peak demand'!A4" display="'" xr:uid="{00000000-0004-0000-0300-0000CD000000}"/>
    <hyperlink ref="G124" location="'System peak demand'!$C$67" display="'System peak demand'!$C$67" xr:uid="{00000000-0004-0000-0300-0000CE000000}"/>
    <hyperlink ref="F125" location="'System peak demand'!A4" display="'" xr:uid="{00000000-0004-0000-0300-0000CF000000}"/>
    <hyperlink ref="G125" location="'System peak demand'!$C$138" display="'System peak demand'!$C$138" xr:uid="{00000000-0004-0000-0300-0000D0000000}"/>
    <hyperlink ref="F126" location="'System peak demand'!A4" display="'" xr:uid="{00000000-0004-0000-0300-0000D1000000}"/>
    <hyperlink ref="G126" location="'System peak demand'!$C$164" display="'System peak demand'!$C$164" xr:uid="{00000000-0004-0000-0300-0000D2000000}"/>
    <hyperlink ref="F127" location="'System peak demand'!A4" display="'" xr:uid="{00000000-0004-0000-0300-0000D3000000}"/>
    <hyperlink ref="G127" location="'System peak demand'!$C$184" display="'System peak demand'!$C$184" xr:uid="{00000000-0004-0000-0300-0000D4000000}"/>
    <hyperlink ref="F128" location="'System peak demand'!A4" display="'" xr:uid="{00000000-0004-0000-0300-0000D5000000}"/>
    <hyperlink ref="G128" location="'System peak demand'!$C$194" display="'System peak demand'!$C$194" xr:uid="{00000000-0004-0000-0300-0000D6000000}"/>
    <hyperlink ref="F129" location="'System peak demand'!A4" display="'" xr:uid="{00000000-0004-0000-0300-0000D7000000}"/>
    <hyperlink ref="G129" location="'System peak demand'!$C$236" display="'System peak demand'!$C$236" xr:uid="{00000000-0004-0000-0300-0000D8000000}"/>
    <hyperlink ref="F130" location="'System peak demand'!A4" display="'" xr:uid="{00000000-0004-0000-0300-0000D9000000}"/>
    <hyperlink ref="G130" location="'System peak demand'!$C$249" display="'System peak demand'!$C$249" xr:uid="{00000000-0004-0000-0300-0000DA000000}"/>
    <hyperlink ref="F131" location="'System peak demand'!A4" display="'" xr:uid="{00000000-0004-0000-0300-0000DB000000}"/>
    <hyperlink ref="G131" location="'System peak demand'!$C$266" display="'System peak demand'!$C$266" xr:uid="{00000000-0004-0000-0300-0000DC000000}"/>
    <hyperlink ref="F132" location="'Service model assets'!A4" display="'" xr:uid="{00000000-0004-0000-0300-0000DD000000}"/>
    <hyperlink ref="G132" location="'Service model assets'!$C$14" display="'Service model assets'!$C$14" xr:uid="{00000000-0004-0000-0300-0000DE000000}"/>
    <hyperlink ref="F133" location="'Unit costs'!A4" display="'" xr:uid="{00000000-0004-0000-0300-0000DF000000}"/>
    <hyperlink ref="G133" location="'Unit costs'!$C$19" display="'Unit costs'!$C$19" xr:uid="{00000000-0004-0000-0300-0000E0000000}"/>
    <hyperlink ref="F134" location="'Unit costs'!A4" display="'" xr:uid="{00000000-0004-0000-0300-0000E1000000}"/>
    <hyperlink ref="G134" location="'Unit costs'!$C$27" display="'Unit costs'!$C$27" xr:uid="{00000000-0004-0000-0300-0000E2000000}"/>
    <hyperlink ref="F135" location="'Unit costs'!A4" display="'" xr:uid="{00000000-0004-0000-0300-0000E3000000}"/>
    <hyperlink ref="G135" location="'Unit costs'!$C$35" display="'Unit costs'!$C$35" xr:uid="{00000000-0004-0000-0300-0000E4000000}"/>
    <hyperlink ref="F136" location="'Unit costs'!A4" display="'" xr:uid="{00000000-0004-0000-0300-0000E5000000}"/>
    <hyperlink ref="G136" location="'Unit costs'!$C$42" display="'Unit costs'!$C$42" xr:uid="{00000000-0004-0000-0300-0000E6000000}"/>
    <hyperlink ref="F137" location="'Unit costs'!A4" display="'" xr:uid="{00000000-0004-0000-0300-0000E7000000}"/>
    <hyperlink ref="G137" location="'Unit costs'!$C$50" display="'Unit costs'!$C$50" xr:uid="{00000000-0004-0000-0300-0000E8000000}"/>
    <hyperlink ref="F138" location="'Unit costs'!A4" display="'" xr:uid="{00000000-0004-0000-0300-0000E9000000}"/>
    <hyperlink ref="G138" location="'Unit costs'!$C$62" display="'Unit costs'!$C$62" xr:uid="{00000000-0004-0000-0300-0000EA000000}"/>
    <hyperlink ref="F139" location="'Unit costs'!A4" display="'" xr:uid="{00000000-0004-0000-0300-0000EB000000}"/>
    <hyperlink ref="G139" location="'Unit costs'!$C$69" display="'Unit costs'!$C$69" xr:uid="{00000000-0004-0000-0300-0000EC000000}"/>
    <hyperlink ref="F140" location="'Unit costs'!A4" display="'" xr:uid="{00000000-0004-0000-0300-0000ED000000}"/>
    <hyperlink ref="G140" location="'Unit costs'!$C$80" display="'Unit costs'!$C$80" xr:uid="{00000000-0004-0000-0300-0000EE000000}"/>
    <hyperlink ref="F141" location="'Unit costs'!A4" display="'" xr:uid="{00000000-0004-0000-0300-0000EF000000}"/>
    <hyperlink ref="G141" location="'Unit costs'!$C$92" display="'Unit costs'!$C$92" xr:uid="{00000000-0004-0000-0300-0000F0000000}"/>
    <hyperlink ref="F142" location="'Unit costs'!A4" display="'" xr:uid="{00000000-0004-0000-0300-0000F1000000}"/>
    <hyperlink ref="G142" location="'Unit costs'!$C$104" display="'Unit costs'!$C$104" xr:uid="{00000000-0004-0000-0300-0000F2000000}"/>
    <hyperlink ref="F143" location="'Unit costs'!A4" display="'" xr:uid="{00000000-0004-0000-0300-0000F3000000}"/>
    <hyperlink ref="G143" location="'Unit costs'!$C$110" display="'Unit costs'!$C$110" xr:uid="{00000000-0004-0000-0300-0000F4000000}"/>
    <hyperlink ref="F144" location="'Unit costs'!A4" display="'" xr:uid="{00000000-0004-0000-0300-0000F5000000}"/>
    <hyperlink ref="G144" location="'Unit costs'!$C$117" display="'Unit costs'!$C$117" xr:uid="{00000000-0004-0000-0300-0000F6000000}"/>
    <hyperlink ref="F145" location="'Initial unit rates'!A4" display="'" xr:uid="{00000000-0004-0000-0300-0000F7000000}"/>
    <hyperlink ref="G145" location="'Initial unit rates'!$C$13" display="'Initial unit rates'!$C$13" xr:uid="{00000000-0004-0000-0300-0000F8000000}"/>
    <hyperlink ref="F146" location="'Initial unit rates'!A4" display="'" xr:uid="{00000000-0004-0000-0300-0000F9000000}"/>
    <hyperlink ref="G146" location="'Initial unit rates'!$C$118" display="'Initial unit rates'!$C$118" xr:uid="{00000000-0004-0000-0300-0000FA000000}"/>
    <hyperlink ref="F147" location="'Initial unit rates'!A4" display="'" xr:uid="{00000000-0004-0000-0300-0000FB000000}"/>
    <hyperlink ref="G147" location="'Initial unit rates'!$C$146" display="'Initial unit rates'!$C$146" xr:uid="{00000000-0004-0000-0300-0000FC000000}"/>
    <hyperlink ref="F148" location="'Initial unit rates'!A4" display="'" xr:uid="{00000000-0004-0000-0300-0000FD000000}"/>
    <hyperlink ref="G148" location="'Initial unit rates'!$C$175" display="'Initial unit rates'!$C$175" xr:uid="{00000000-0004-0000-0300-0000FE000000}"/>
    <hyperlink ref="F149" location="'Initial unit rates'!A4" display="'" xr:uid="{00000000-0004-0000-0300-0000FF000000}"/>
    <hyperlink ref="G149" location="'Initial unit rates'!$C$204" display="'Initial unit rates'!$C$204" xr:uid="{00000000-0004-0000-0300-000000010000}"/>
    <hyperlink ref="F150" location="'Service model charges'!A4" display="'" xr:uid="{00000000-0004-0000-0300-000001010000}"/>
    <hyperlink ref="G150" location="'Service model charges'!$C$17" display="'Service model charges'!$C$17" xr:uid="{00000000-0004-0000-0300-000002010000}"/>
    <hyperlink ref="F151" location="'Service model charges'!A4" display="'" xr:uid="{00000000-0004-0000-0300-000003010000}"/>
    <hyperlink ref="G151" location="'Service model charges'!$C$33" display="'Service model charges'!$C$33" xr:uid="{00000000-0004-0000-0300-000004010000}"/>
    <hyperlink ref="F152" location="'Service model charges'!A4" display="'" xr:uid="{00000000-0004-0000-0300-000005010000}"/>
    <hyperlink ref="G152" location="'Service model charges'!$C$37" display="'Service model charges'!$C$37" xr:uid="{00000000-0004-0000-0300-000006010000}"/>
    <hyperlink ref="F153" location="'Unit rate charges'!A4" display="'" xr:uid="{00000000-0004-0000-0300-000007010000}"/>
    <hyperlink ref="G153" location="'Unit rate charges'!$C$19" display="'Unit rate charges'!$C$19" xr:uid="{00000000-0004-0000-0300-000008010000}"/>
    <hyperlink ref="F154" location="'Unit rate charges'!A4" display="'" xr:uid="{00000000-0004-0000-0300-000009010000}"/>
    <hyperlink ref="G154" location="'Unit rate charges'!$C$49" display="'Unit rate charges'!$C$49" xr:uid="{00000000-0004-0000-0300-00000A010000}"/>
    <hyperlink ref="F155" location="'Unit rate charges'!A4" display="'" xr:uid="{00000000-0004-0000-0300-00000B010000}"/>
    <hyperlink ref="G155" location="'Unit rate charges'!$C$79" display="'Unit rate charges'!$C$79" xr:uid="{00000000-0004-0000-0300-00000C010000}"/>
    <hyperlink ref="F156" location="'Unit rate charges'!A4" display="'" xr:uid="{00000000-0004-0000-0300-00000D010000}"/>
    <hyperlink ref="G156" location="'Unit rate charges'!$C$109" display="'Unit rate charges'!$C$109" xr:uid="{00000000-0004-0000-0300-00000E010000}"/>
    <hyperlink ref="F157" location="'Unit rate charges'!A4" display="'" xr:uid="{00000000-0004-0000-0300-00000F010000}"/>
    <hyperlink ref="G157" location="'Unit rate charges'!$C$124" display="'Unit rate charges'!$C$124" xr:uid="{00000000-0004-0000-0300-000010010000}"/>
    <hyperlink ref="F158" location="'Unit rate charges'!A4" display="'" xr:uid="{00000000-0004-0000-0300-000011010000}"/>
    <hyperlink ref="G158" location="'Unit rate charges'!$C$154" display="'Unit rate charges'!$C$154" xr:uid="{00000000-0004-0000-0300-000012010000}"/>
    <hyperlink ref="F159" location="'Unit rate charges'!A4" display="'" xr:uid="{00000000-0004-0000-0300-000013010000}"/>
    <hyperlink ref="G159" location="'Unit rate charges'!$C$184" display="'Unit rate charges'!$C$184" xr:uid="{00000000-0004-0000-0300-000014010000}"/>
    <hyperlink ref="F160" location="'Unit rate charges'!A4" display="'" xr:uid="{00000000-0004-0000-0300-000015010000}"/>
    <hyperlink ref="G160" location="'Unit rate charges'!$C$214" display="'Unit rate charges'!$C$214" xr:uid="{00000000-0004-0000-0300-000016010000}"/>
    <hyperlink ref="F161" location="'Reactive power charges'!A4" display="'" xr:uid="{00000000-0004-0000-0300-000017010000}"/>
    <hyperlink ref="G161" location="'Reactive power charges'!$C$17" display="'Reactive power charges'!$C$17" xr:uid="{00000000-0004-0000-0300-000018010000}"/>
    <hyperlink ref="F162" location="'Reactive power charges'!A4" display="'" xr:uid="{00000000-0004-0000-0300-000019010000}"/>
    <hyperlink ref="G162" location="'Reactive power charges'!$C$120" display="'Reactive power charges'!$C$120" xr:uid="{00000000-0004-0000-0300-00001A010000}"/>
    <hyperlink ref="F163" location="'Reactive power charges'!A4" display="'" xr:uid="{00000000-0004-0000-0300-00001B010000}"/>
    <hyperlink ref="G163" location="'Reactive power charges'!$C$155" display="'Reactive power charges'!$C$155" xr:uid="{00000000-0004-0000-0300-00001C010000}"/>
    <hyperlink ref="F164" location="'Reactive power charges'!A4" display="'" xr:uid="{00000000-0004-0000-0300-00001D010000}"/>
    <hyperlink ref="G164" location="'Reactive power charges'!$C$190" display="'Reactive power charges'!$C$190" xr:uid="{00000000-0004-0000-0300-00001E010000}"/>
    <hyperlink ref="F165" location="'Reactive power charges'!A4" display="'" xr:uid="{00000000-0004-0000-0300-00001F010000}"/>
    <hyperlink ref="G165" location="'Reactive power charges'!$C$220" display="'Reactive power charges'!$C$220" xr:uid="{00000000-0004-0000-0300-000020010000}"/>
    <hyperlink ref="F166" location="'Capacity charges'!A4" display="'" xr:uid="{00000000-0004-0000-0300-000021010000}"/>
    <hyperlink ref="G166" location="'Capacity charges'!$C$19" display="'Capacity charges'!$C$19" xr:uid="{00000000-0004-0000-0300-000022010000}"/>
    <hyperlink ref="F167" location="'Capacity charges'!A4" display="'" xr:uid="{00000000-0004-0000-0300-000023010000}"/>
    <hyperlink ref="G167" location="'Capacity charges'!$C$129" display="'Capacity charges'!$C$129" xr:uid="{00000000-0004-0000-0300-000024010000}"/>
    <hyperlink ref="F168" location="'Capacity charges'!A4" display="'" xr:uid="{00000000-0004-0000-0300-000025010000}"/>
    <hyperlink ref="G168" location="'Capacity charges'!$C$159" display="'Capacity charges'!$C$159" xr:uid="{00000000-0004-0000-0300-000026010000}"/>
    <hyperlink ref="F169" location="'Capacity charges'!A4" display="'" xr:uid="{00000000-0004-0000-0300-000027010000}"/>
    <hyperlink ref="G169" location="'Capacity charges'!$C$189" display="'Capacity charges'!$C$189" xr:uid="{00000000-0004-0000-0300-000028010000}"/>
    <hyperlink ref="F170" location="'Capacity charges'!A4" display="'" xr:uid="{00000000-0004-0000-0300-000029010000}"/>
    <hyperlink ref="G170" location="'Capacity charges'!$C$219" display="'Capacity charges'!$C$219" xr:uid="{00000000-0004-0000-0300-00002A010000}"/>
    <hyperlink ref="F171" location="'Capacity charges'!A4" display="'" xr:uid="{00000000-0004-0000-0300-00002B010000}"/>
    <hyperlink ref="G171" location="'Capacity charges'!$C$254" display="'Capacity charges'!$C$254" xr:uid="{00000000-0004-0000-0300-00002C010000}"/>
    <hyperlink ref="F172" location="'Capacity charges'!A4" display="'" xr:uid="{00000000-0004-0000-0300-00002D010000}"/>
    <hyperlink ref="G172" location="'Capacity charges'!$C$259" display="'Capacity charges'!$C$259" xr:uid="{00000000-0004-0000-0300-00002E010000}"/>
    <hyperlink ref="F173" location="'Fixed charges'!A4" display="'" xr:uid="{00000000-0004-0000-0300-00002F010000}"/>
    <hyperlink ref="G173" location="'Fixed charges'!$C$16" display="'Fixed charges'!$C$16" xr:uid="{00000000-0004-0000-0300-000030010000}"/>
    <hyperlink ref="F174" location="'Fixed charges'!A4" display="'" xr:uid="{00000000-0004-0000-0300-000031010000}"/>
    <hyperlink ref="G174" location="'Fixed charges'!$C$22" display="'Fixed charges'!$C$22" xr:uid="{00000000-0004-0000-0300-000032010000}"/>
    <hyperlink ref="F175" location="'Fixed charges'!A4" display="'" xr:uid="{00000000-0004-0000-0300-000033010000}"/>
    <hyperlink ref="G175" location="'Fixed charges'!$C$52" display="'Fixed charges'!$C$52" xr:uid="{00000000-0004-0000-0300-000034010000}"/>
    <hyperlink ref="F176" location="'Fixed charges'!A4" display="'" xr:uid="{00000000-0004-0000-0300-000035010000}"/>
    <hyperlink ref="G176" location="'Fixed charges'!$C$58" display="'Fixed charges'!$C$58" xr:uid="{00000000-0004-0000-0300-000036010000}"/>
    <hyperlink ref="F177" location="'Fixed charges'!A4" display="'" xr:uid="{00000000-0004-0000-0300-000037010000}"/>
    <hyperlink ref="G177" location="'Fixed charges'!$C$67" display="'Fixed charges'!$C$67" xr:uid="{00000000-0004-0000-0300-000038010000}"/>
    <hyperlink ref="F178" location="'Fixed charges'!A4" display="'" xr:uid="{00000000-0004-0000-0300-000039010000}"/>
    <hyperlink ref="G178" location="'Fixed charges'!$C$97" display="'Fixed charges'!$C$97" xr:uid="{00000000-0004-0000-0300-00003A010000}"/>
    <hyperlink ref="F179" location="'Fixed charges'!A4" display="'" xr:uid="{00000000-0004-0000-0300-00003B010000}"/>
    <hyperlink ref="G179" location="'Fixed charges'!$C$127" display="'Fixed charges'!$C$127" xr:uid="{00000000-0004-0000-0300-00003C010000}"/>
    <hyperlink ref="F180" location="'Fixed charges'!A4" display="'" xr:uid="{00000000-0004-0000-0300-00003D010000}"/>
    <hyperlink ref="G180" location="'Fixed charges'!$C$159" display="'Fixed charges'!$C$159" xr:uid="{00000000-0004-0000-0300-00003E010000}"/>
    <hyperlink ref="F181" location="'Revenue matching'!A4" display="'" xr:uid="{00000000-0004-0000-0300-00003F010000}"/>
    <hyperlink ref="G181" location="'Revenue matching'!$C$15" display="'Revenue matching'!$C$15" xr:uid="{00000000-0004-0000-0300-000040010000}"/>
    <hyperlink ref="F182" location="'Revenue matching'!A4" display="'" xr:uid="{00000000-0004-0000-0300-000041010000}"/>
    <hyperlink ref="G182" location="'Revenue matching'!$C$45" display="'Revenue matching'!$C$45" xr:uid="{00000000-0004-0000-0300-000042010000}"/>
    <hyperlink ref="F183" location="'Revenue matching'!A4" display="'" xr:uid="{00000000-0004-0000-0300-000043010000}"/>
    <hyperlink ref="G183" location="'Revenue matching'!$C$68" display="'Revenue matching'!$C$68" xr:uid="{00000000-0004-0000-0300-000044010000}"/>
    <hyperlink ref="F184" location="'Revenue matching'!A4" display="'" xr:uid="{00000000-0004-0000-0300-000045010000}"/>
    <hyperlink ref="G184" location="'Revenue matching'!$C$92" display="'Revenue matching'!$C$92" xr:uid="{00000000-0004-0000-0300-000046010000}"/>
    <hyperlink ref="F185" location="'Revenue matching'!A4" display="'" xr:uid="{00000000-0004-0000-0300-000047010000}"/>
    <hyperlink ref="G185" location="'Revenue matching'!$C$131" display="'Revenue matching'!$C$131" xr:uid="{00000000-0004-0000-0300-000048010000}"/>
    <hyperlink ref="F186" location="'Fixed charge adder'!A4" display="'" xr:uid="{00000000-0004-0000-0300-000049010000}"/>
    <hyperlink ref="G186" location="'Fixed charge adder'!$C$16" display="'Fixed charge adder'!$C$16" xr:uid="{00000000-0004-0000-0300-00004A010000}"/>
    <hyperlink ref="F187" location="'Fixed charge adder'!A4" display="'" xr:uid="{00000000-0004-0000-0300-00004B010000}"/>
    <hyperlink ref="G187" location="'Fixed charge adder'!$C$33" display="'Fixed charge adder'!$C$33" xr:uid="{00000000-0004-0000-0300-00004C010000}"/>
    <hyperlink ref="F188" location="'Fixed charge adder'!A4" display="'" xr:uid="{00000000-0004-0000-0300-00004D010000}"/>
    <hyperlink ref="G188" location="'Fixed charge adder'!$C$48" display="'Fixed charge adder'!$C$48" xr:uid="{00000000-0004-0000-0300-00004E010000}"/>
    <hyperlink ref="F189" location="'Rounding'!A4" display="'" xr:uid="{00000000-0004-0000-0300-00004F010000}"/>
    <hyperlink ref="G189" location="'Rounding'!$C$16" display="'Rounding'!$C$16" xr:uid="{00000000-0004-0000-0300-000050010000}"/>
    <hyperlink ref="F190" location="'Rounding'!A4" display="'" xr:uid="{00000000-0004-0000-0300-000051010000}"/>
    <hyperlink ref="G190" location="'Rounding'!$C$28" display="'Rounding'!$C$28" xr:uid="{00000000-0004-0000-0300-000052010000}"/>
    <hyperlink ref="F191" location="'Rounding'!A4" display="'" xr:uid="{00000000-0004-0000-0300-000053010000}"/>
    <hyperlink ref="G191" location="'Rounding'!$C$40" display="'Rounding'!$C$40" xr:uid="{00000000-0004-0000-0300-000054010000}"/>
    <hyperlink ref="F192" location="'Rounding'!A4" display="'" xr:uid="{00000000-0004-0000-0300-000055010000}"/>
    <hyperlink ref="G192" location="'Rounding'!$C$52" display="'Rounding'!$C$52" xr:uid="{00000000-0004-0000-0300-000056010000}"/>
    <hyperlink ref="F193" location="'Rounding'!A4" display="'" xr:uid="{00000000-0004-0000-0300-000057010000}"/>
    <hyperlink ref="G193" location="'Rounding'!$C$72" display="'Rounding'!$C$72" xr:uid="{00000000-0004-0000-0300-000058010000}"/>
    <hyperlink ref="F194" location="'Rounding'!A4" display="'" xr:uid="{00000000-0004-0000-0300-000059010000}"/>
    <hyperlink ref="G194" location="'Rounding'!$C$87" display="'Rounding'!$C$87" xr:uid="{00000000-0004-0000-0300-00005A010000}"/>
    <hyperlink ref="F195" location="'Rounding'!A4" display="'" xr:uid="{00000000-0004-0000-0300-00005B010000}"/>
    <hyperlink ref="G195" location="'Rounding'!$C$98" display="'Rounding'!$C$98" xr:uid="{00000000-0004-0000-0300-00005C010000}"/>
    <hyperlink ref="F196" location="'Rounding'!A4" display="'" xr:uid="{00000000-0004-0000-0300-00005D010000}"/>
    <hyperlink ref="G196" location="'Rounding'!$C$127" display="'Rounding'!$C$127" xr:uid="{00000000-0004-0000-0300-00005E010000}"/>
    <hyperlink ref="F197" location="'Net revenue summary'!A4" display="'" xr:uid="{00000000-0004-0000-0300-00005F010000}"/>
    <hyperlink ref="G197" location="'Net revenue summary'!$C$13" display="'Net revenue summary'!$C$13" xr:uid="{00000000-0004-0000-0300-000060010000}"/>
    <hyperlink ref="F198" location="'Net revenue summary'!A4" display="'" xr:uid="{00000000-0004-0000-0300-000061010000}"/>
    <hyperlink ref="G198" location="'Net revenue summary'!$C$42" display="'Net revenue summary'!$C$42" xr:uid="{00000000-0004-0000-0300-000062010000}"/>
    <hyperlink ref="F199" location="'Net revenue summary'!A4" display="'" xr:uid="{00000000-0004-0000-0300-000063010000}"/>
    <hyperlink ref="G199" location="'Net revenue summary'!$C$71" display="'Net revenue summary'!$C$71" xr:uid="{00000000-0004-0000-0300-000064010000}"/>
    <hyperlink ref="F200" location="'Net revenue summary'!A4" display="'" xr:uid="{00000000-0004-0000-0300-000065010000}"/>
    <hyperlink ref="G200" location="'Net revenue summary'!$C$81" display="'Net revenue summary'!$C$81" xr:uid="{00000000-0004-0000-0300-000066010000}"/>
    <hyperlink ref="F201" location="'Net revenue summary'!A4" display="'" xr:uid="{00000000-0004-0000-0300-000067010000}"/>
    <hyperlink ref="G201" location="'Net revenue summary'!$C$113" display="'Net revenue summary'!$C$113" xr:uid="{00000000-0004-0000-0300-000068010000}"/>
    <hyperlink ref="F202" location="'Net revenue summary'!A4" display="'" xr:uid="{00000000-0004-0000-0300-000069010000}"/>
    <hyperlink ref="G202" location="'Net revenue summary'!$C$126" display="'Net revenue summary'!$C$126" xr:uid="{00000000-0004-0000-0300-00006A010000}"/>
    <hyperlink ref="F203" location="'Net revenue summary'!A4" display="'" xr:uid="{00000000-0004-0000-0300-00006B010000}"/>
    <hyperlink ref="G203" location="'Net revenue summary'!$C$132" display="'Net revenue summary'!$C$132" xr:uid="{00000000-0004-0000-0300-00006C010000}"/>
    <hyperlink ref="F204" location="'Net revenue summary'!A4" display="'" xr:uid="{00000000-0004-0000-0300-00006D010000}"/>
    <hyperlink ref="G204" location="'Net revenue summary'!$C$140" display="'Net revenue summary'!$C$140" xr:uid="{00000000-0004-0000-0300-00006E010000}"/>
    <hyperlink ref="F205" location="'Net revenue summary'!A4" display="'" xr:uid="{00000000-0004-0000-0300-00006F010000}"/>
    <hyperlink ref="G205" location="'Net revenue summary'!$C$151" display="'Net revenue summary'!$C$151" xr:uid="{00000000-0004-0000-0300-000070010000}"/>
    <hyperlink ref="F206" location="'Net revenue summary'!A4" display="'" xr:uid="{00000000-0004-0000-0300-000071010000}"/>
    <hyperlink ref="G206" location="'Net revenue summary'!$C$166" display="'Net revenue summary'!$C$166" xr:uid="{00000000-0004-0000-0300-000072010000}"/>
    <hyperlink ref="F207" location="'Net revenue summary'!A4" display="'" xr:uid="{00000000-0004-0000-0300-000073010000}"/>
    <hyperlink ref="G207" location="'Net revenue summary'!$C$190" display="'Net revenue summary'!$C$190" xr:uid="{00000000-0004-0000-0300-000074010000}"/>
    <hyperlink ref="F208" location="'Tariff summary'!A4" display="'" xr:uid="{00000000-0004-0000-0300-000075010000}"/>
    <hyperlink ref="G208" location="'Tariff summary'!$C$13" display="'Tariff summary'!$C$13" xr:uid="{00000000-0004-0000-0300-000076010000}"/>
    <hyperlink ref="F209" location="'Output to other models'!A4" display="'" xr:uid="{00000000-0004-0000-0300-000077010000}"/>
    <hyperlink ref="G209" location="'Output to other models'!$C$14" display="'Output to other models'!$C$14" xr:uid="{00000000-0004-0000-0300-000078010000}"/>
    <hyperlink ref="F210" location="'Output to other models'!A4" display="'" xr:uid="{00000000-0004-0000-0300-000079010000}"/>
    <hyperlink ref="G210" location="'Output to other models'!$C$27" display="'Output to other models'!$C$27" xr:uid="{00000000-0004-0000-0300-00007A010000}"/>
    <hyperlink ref="F211" location="'Output to other models'!A4" display="'" xr:uid="{00000000-0004-0000-0300-00007B010000}"/>
    <hyperlink ref="G211" location="'Output to other models'!$C$45" display="'Output to other models'!$C$45" xr:uid="{00000000-0004-0000-0300-00007C010000}"/>
    <hyperlink ref="F212" location="'Output to other models'!A4" display="'" xr:uid="{00000000-0004-0000-0300-00007D010000}"/>
    <hyperlink ref="G212" location="'Output to other models'!$C$57" display="'Output to other models'!$C$57" xr:uid="{00000000-0004-0000-0300-00007E010000}"/>
    <hyperlink ref="F213" location="'Output to other models'!A4" display="'" xr:uid="{00000000-0004-0000-0300-00007F010000}"/>
    <hyperlink ref="G213" location="'Output to other models'!$C$67" display="'Output to other models'!$C$67" xr:uid="{00000000-0004-0000-0300-000080010000}"/>
  </hyperlink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9">
    <tabColor theme="6" tint="0.39997558519241921"/>
  </sheetPr>
  <dimension ref="A1:AD18"/>
  <sheetViews>
    <sheetView showGridLines="0" zoomScale="80" zoomScaleNormal="80" workbookViewId="0">
      <pane ySplit="3" topLeftCell="A4" activePane="bottomLeft" state="frozen"/>
      <selection pane="bottomLeft"/>
    </sheetView>
  </sheetViews>
  <sheetFormatPr defaultColWidth="0" defaultRowHeight="15" x14ac:dyDescent="0.25"/>
  <cols>
    <col min="1" max="5" width="2.5703125" customWidth="1"/>
    <col min="6" max="6" width="59.5703125" customWidth="1"/>
    <col min="7" max="7" width="90.42578125" customWidth="1"/>
    <col min="8" max="8" width="20.5703125" customWidth="1"/>
    <col min="9" max="9" width="2.5703125" customWidth="1"/>
    <col min="10" max="16" width="15.42578125" hidden="1" customWidth="1"/>
    <col min="17" max="17" width="2.5703125" hidden="1" customWidth="1"/>
    <col min="18" max="30" width="0" hidden="1" customWidth="1"/>
    <col min="31" max="16384" width="9.28515625" hidden="1"/>
  </cols>
  <sheetData>
    <row r="1" spans="1:8" s="1" customFormat="1" x14ac:dyDescent="0.25">
      <c r="A1" s="1" t="str">
        <f ca="1">MID(CELL("filename",A1),FIND("]",CELL("filename",A1))+1,255)</f>
        <v>Named ranges</v>
      </c>
    </row>
    <row r="2" spans="1:8" s="1" customFormat="1" x14ac:dyDescent="0.25">
      <c r="A2" s="1" t="str">
        <f>Cover!D21&amp;" - "&amp;Cover!D23</f>
        <v>SP Distribution - Two</v>
      </c>
    </row>
    <row r="3" spans="1:8" s="5" customFormat="1" x14ac:dyDescent="0.25">
      <c r="A3" s="5" t="str">
        <f>Cover!D2&amp;" - "&amp;Cover!D8&amp;" v"&amp;Cover!D10&amp;" - "&amp;Cover!D19</f>
        <v>CDCM charging model - Release for charge setting v6 - 2021/22</v>
      </c>
    </row>
    <row r="5" spans="1:8" x14ac:dyDescent="0.25">
      <c r="B5" s="41" t="s">
        <v>120</v>
      </c>
      <c r="C5" s="41"/>
      <c r="D5" s="41"/>
      <c r="E5" s="41"/>
      <c r="F5" s="42"/>
      <c r="G5" s="42"/>
      <c r="H5" s="42"/>
    </row>
    <row r="6" spans="1:8" x14ac:dyDescent="0.25">
      <c r="B6" s="40"/>
      <c r="C6" s="40"/>
      <c r="D6" s="40"/>
      <c r="E6" s="40"/>
      <c r="F6" s="43"/>
      <c r="G6" s="40"/>
      <c r="H6" s="40"/>
    </row>
    <row r="7" spans="1:8" x14ac:dyDescent="0.25">
      <c r="F7" s="58" t="s">
        <v>121</v>
      </c>
      <c r="G7" t="s">
        <v>122</v>
      </c>
      <c r="H7" t="s">
        <v>113</v>
      </c>
    </row>
    <row r="8" spans="1:8" x14ac:dyDescent="0.25">
      <c r="F8" s="58" t="s">
        <v>123</v>
      </c>
      <c r="G8" t="s">
        <v>124</v>
      </c>
      <c r="H8" t="s">
        <v>52</v>
      </c>
    </row>
    <row r="9" spans="1:8" x14ac:dyDescent="0.25">
      <c r="F9" s="58" t="s">
        <v>125</v>
      </c>
      <c r="G9" t="s">
        <v>126</v>
      </c>
      <c r="H9" t="s">
        <v>59</v>
      </c>
    </row>
    <row r="10" spans="1:8" x14ac:dyDescent="0.25">
      <c r="F10" s="58" t="s">
        <v>127</v>
      </c>
      <c r="G10" t="s">
        <v>128</v>
      </c>
      <c r="H10" t="s">
        <v>113</v>
      </c>
    </row>
    <row r="11" spans="1:8" x14ac:dyDescent="0.25">
      <c r="F11" s="58" t="s">
        <v>129</v>
      </c>
      <c r="G11" t="s">
        <v>130</v>
      </c>
      <c r="H11" t="s">
        <v>52</v>
      </c>
    </row>
    <row r="12" spans="1:8" x14ac:dyDescent="0.25">
      <c r="F12" s="58" t="s">
        <v>131</v>
      </c>
      <c r="G12" t="s">
        <v>132</v>
      </c>
      <c r="H12" t="s">
        <v>59</v>
      </c>
    </row>
    <row r="13" spans="1:8" x14ac:dyDescent="0.25">
      <c r="F13" s="58" t="s">
        <v>133</v>
      </c>
      <c r="G13" t="s">
        <v>134</v>
      </c>
      <c r="H13" t="s">
        <v>52</v>
      </c>
    </row>
    <row r="14" spans="1:8" x14ac:dyDescent="0.25">
      <c r="F14" s="58" t="s">
        <v>135</v>
      </c>
      <c r="G14" t="s">
        <v>136</v>
      </c>
      <c r="H14" t="s">
        <v>52</v>
      </c>
    </row>
    <row r="15" spans="1:8" x14ac:dyDescent="0.25">
      <c r="F15" s="58" t="s">
        <v>137</v>
      </c>
      <c r="G15" t="s">
        <v>138</v>
      </c>
      <c r="H15" t="s">
        <v>52</v>
      </c>
    </row>
    <row r="16" spans="1:8" x14ac:dyDescent="0.25">
      <c r="F16" s="58" t="s">
        <v>139</v>
      </c>
      <c r="G16" t="s">
        <v>140</v>
      </c>
      <c r="H16" t="s">
        <v>52</v>
      </c>
    </row>
    <row r="17" spans="2:8" x14ac:dyDescent="0.25">
      <c r="F17" s="58"/>
    </row>
    <row r="18" spans="2:8" x14ac:dyDescent="0.25">
      <c r="B18" s="41" t="s">
        <v>105</v>
      </c>
      <c r="C18" s="41"/>
      <c r="D18" s="41"/>
      <c r="E18" s="41"/>
      <c r="F18" s="42"/>
      <c r="G18" s="42"/>
      <c r="H18" s="42"/>
    </row>
  </sheetData>
  <sheetProtection sheet="1" objects="1" formatCells="0" formatColumns="0" formatRows="0" sort="0" autoFilter="0"/>
  <hyperlinks>
    <hyperlink ref="F7" location="Cover!$D$19" display="charging_year" xr:uid="{00000000-0004-0000-0400-000000000000}"/>
    <hyperlink ref="F8" location="'Fixed inputs'!H154" display="check_decimals" xr:uid="{00000000-0004-0000-0400-000001000000}"/>
    <hyperlink ref="F9" location="'General inputs'!$H$90" display="days_in_year" xr:uid="{00000000-0004-0000-0400-000002000000}"/>
    <hyperlink ref="F10" location="Cover!$D$21" display="DNO_name" xr:uid="{00000000-0004-0000-0400-000003000000}"/>
    <hyperlink ref="F11" location="'Fixed inputs'!$H$15" display="hours_in_day" xr:uid="{00000000-0004-0000-0400-000004000000}"/>
    <hyperlink ref="F12" location="'General inputs'!$H$91" display="hours_in_year" xr:uid="{00000000-0004-0000-0400-000005000000}"/>
    <hyperlink ref="F13" location="'Fixed inputs'!$H$17" display="hundred" xr:uid="{00000000-0004-0000-0400-000006000000}"/>
    <hyperlink ref="F14" location="'Fixed inputs'!$H$37" display="PowerFactor" xr:uid="{00000000-0004-0000-0400-000007000000}"/>
    <hyperlink ref="F15" location="'Fixed inputs'!$H$16" display="ten" xr:uid="{00000000-0004-0000-0400-000008000000}"/>
    <hyperlink ref="F16" location="'Fixed inputs'!$H$18" display="thousand" xr:uid="{00000000-0004-0000-0400-000009000000}"/>
  </hyperlink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5" tint="0.59999389629810485"/>
  </sheetPr>
  <dimension ref="A1:BL176"/>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8" width="17" customWidth="1"/>
    <col min="29" max="29" width="2.42578125" customWidth="1"/>
    <col min="30" max="30" width="50.5703125" customWidth="1"/>
    <col min="31" max="31" width="2.42578125" customWidth="1"/>
    <col min="32" max="47" width="9.28515625" hidden="1" customWidth="1"/>
    <col min="48" max="16384" width="9.28515625" hidden="1"/>
  </cols>
  <sheetData>
    <row r="1" spans="1:30" s="1" customFormat="1" x14ac:dyDescent="0.25">
      <c r="A1" s="1" t="str">
        <f ca="1">MID(CELL("filename",A1),FIND("]",CELL("filename",A1))+1,255)</f>
        <v>Fixed inputs</v>
      </c>
    </row>
    <row r="2" spans="1:30" s="1" customFormat="1" x14ac:dyDescent="0.25">
      <c r="A2" s="1" t="str">
        <f>Cover!D21&amp;" - "&amp;Cover!D23</f>
        <v>SP Distribution - Two</v>
      </c>
    </row>
    <row r="3" spans="1:30" s="5" customFormat="1" x14ac:dyDescent="0.25">
      <c r="A3" s="5" t="str">
        <f>Cover!D2&amp;" - "&amp;Cover!D8&amp;" v"&amp;Cover!D10&amp;" - "&amp;Cover!D19</f>
        <v>CDCM charging model - Release for charge setting v6 - 2021/22</v>
      </c>
    </row>
    <row r="4" spans="1:30" x14ac:dyDescent="0.25">
      <c r="A4" s="12" t="str">
        <f>H172 &amp; IF(H172 = 1, " issue", " issues") &amp;" identified in checks on this sheet"</f>
        <v>0 issues identified in checks on this sheet</v>
      </c>
      <c r="B4" s="13"/>
      <c r="C4" s="13"/>
      <c r="D4" s="13"/>
      <c r="E4" s="13"/>
      <c r="F4" s="13"/>
      <c r="G4" s="13"/>
      <c r="H4" s="14"/>
      <c r="I4" s="14"/>
    </row>
    <row r="5" spans="1:30" ht="60" x14ac:dyDescent="0.25">
      <c r="B5" s="59" t="s">
        <v>141</v>
      </c>
      <c r="C5" s="60"/>
      <c r="D5" s="60"/>
      <c r="E5" s="60"/>
      <c r="F5" s="60"/>
      <c r="G5" s="61" t="s">
        <v>142</v>
      </c>
      <c r="H5" s="62" t="s">
        <v>143</v>
      </c>
      <c r="I5" s="14"/>
      <c r="J5" s="62" t="s">
        <v>893</v>
      </c>
      <c r="K5" s="62" t="s">
        <v>895</v>
      </c>
      <c r="L5" s="62" t="s">
        <v>894</v>
      </c>
      <c r="M5" s="62" t="s">
        <v>896</v>
      </c>
      <c r="N5" s="62" t="s">
        <v>902</v>
      </c>
      <c r="O5" s="62" t="s">
        <v>903</v>
      </c>
      <c r="P5" s="62" t="s">
        <v>904</v>
      </c>
      <c r="Q5" s="62" t="s">
        <v>1027</v>
      </c>
      <c r="R5" s="62" t="s">
        <v>1028</v>
      </c>
      <c r="S5" s="62" t="s">
        <v>1029</v>
      </c>
      <c r="T5" s="62" t="s">
        <v>905</v>
      </c>
      <c r="U5" s="62" t="s">
        <v>897</v>
      </c>
      <c r="V5" s="62" t="s">
        <v>898</v>
      </c>
      <c r="W5" s="62" t="s">
        <v>899</v>
      </c>
      <c r="X5" s="62" t="s">
        <v>908</v>
      </c>
      <c r="Y5" s="62" t="s">
        <v>900</v>
      </c>
      <c r="Z5" s="62" t="s">
        <v>907</v>
      </c>
      <c r="AA5" s="62" t="s">
        <v>901</v>
      </c>
      <c r="AB5" s="62" t="s">
        <v>906</v>
      </c>
      <c r="AD5" s="61" t="s">
        <v>144</v>
      </c>
    </row>
    <row r="7" spans="1:30" x14ac:dyDescent="0.25">
      <c r="B7" s="30" t="s">
        <v>9</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row>
    <row r="9" spans="1:30" x14ac:dyDescent="0.25">
      <c r="C9" s="29" t="s">
        <v>145</v>
      </c>
    </row>
    <row r="11" spans="1:30" x14ac:dyDescent="0.25">
      <c r="B11" s="30" t="s">
        <v>52</v>
      </c>
      <c r="C11" s="30"/>
      <c r="D11" s="30"/>
      <c r="E11" s="30"/>
      <c r="F11" s="30"/>
      <c r="G11" s="30"/>
      <c r="H11" s="30"/>
      <c r="I11" s="30"/>
      <c r="J11" s="30"/>
      <c r="K11" s="30"/>
      <c r="L11" s="30"/>
      <c r="M11" s="30"/>
      <c r="N11" s="30"/>
      <c r="O11" s="30"/>
      <c r="P11" s="30"/>
      <c r="Q11" s="30"/>
      <c r="R11" s="30"/>
      <c r="S11" s="30"/>
      <c r="T11" s="30"/>
      <c r="U11" s="30"/>
      <c r="V11" s="30"/>
      <c r="W11" s="30"/>
      <c r="X11" s="30"/>
      <c r="Y11" s="30"/>
      <c r="Z11" s="30"/>
      <c r="AA11" s="30"/>
      <c r="AB11" s="30"/>
      <c r="AC11" s="30"/>
      <c r="AD11" s="30"/>
    </row>
    <row r="13" spans="1:30" x14ac:dyDescent="0.25">
      <c r="C13" s="31" t="str">
        <f ca="1">INDEX('Version control'!$H$34:$H$57,MATCH($A$1,'Version control'!$F$34:$F$57,0),1)&amp;"-A: Conversions and time"</f>
        <v>Input 101-A: Conversions and time</v>
      </c>
      <c r="D13" s="31"/>
      <c r="E13" s="31"/>
      <c r="F13" s="31"/>
      <c r="G13" s="31"/>
      <c r="H13" s="31"/>
      <c r="I13" s="31"/>
      <c r="J13" s="31"/>
      <c r="K13" s="31"/>
      <c r="L13" s="31"/>
      <c r="M13" s="31"/>
      <c r="N13" s="31"/>
      <c r="O13" s="31"/>
      <c r="P13" s="31"/>
      <c r="Q13" s="31"/>
      <c r="R13" s="31"/>
      <c r="S13" s="31"/>
      <c r="T13" s="31"/>
      <c r="U13" s="31"/>
      <c r="V13" s="31"/>
      <c r="W13" s="31"/>
      <c r="X13" s="31"/>
      <c r="Y13" s="31"/>
      <c r="Z13" s="31"/>
      <c r="AA13" s="31"/>
      <c r="AB13" s="31"/>
      <c r="AC13" s="31"/>
      <c r="AD13" s="31"/>
    </row>
    <row r="15" spans="1:30" x14ac:dyDescent="0.25">
      <c r="E15" s="28" t="s">
        <v>130</v>
      </c>
      <c r="G15" t="s">
        <v>146</v>
      </c>
      <c r="H15" s="246">
        <v>24</v>
      </c>
    </row>
    <row r="16" spans="1:30" x14ac:dyDescent="0.25">
      <c r="E16" s="28" t="s">
        <v>147</v>
      </c>
      <c r="G16" t="s">
        <v>148</v>
      </c>
      <c r="H16" s="246">
        <v>10</v>
      </c>
    </row>
    <row r="17" spans="3:30" x14ac:dyDescent="0.25">
      <c r="E17" s="28" t="s">
        <v>149</v>
      </c>
      <c r="G17" t="s">
        <v>148</v>
      </c>
      <c r="H17" s="246">
        <v>100</v>
      </c>
    </row>
    <row r="18" spans="3:30" x14ac:dyDescent="0.25">
      <c r="E18" s="28" t="s">
        <v>150</v>
      </c>
      <c r="G18" t="s">
        <v>148</v>
      </c>
      <c r="H18" s="246">
        <v>1000</v>
      </c>
    </row>
    <row r="20" spans="3:30" x14ac:dyDescent="0.25">
      <c r="C20" s="31" t="str">
        <f ca="1">INDEX('Version control'!$H$34:$H$57,MATCH($A$1,'Version control'!$F$34:$F$57,0),1)&amp;"-B: Input 101-B: Rounding"</f>
        <v>Input 101-B: Input 101-B: Rounding</v>
      </c>
      <c r="D20" s="31"/>
      <c r="E20" s="31"/>
      <c r="F20" s="31"/>
      <c r="G20" s="31"/>
      <c r="H20" s="31"/>
      <c r="I20" s="31"/>
      <c r="J20" s="31"/>
      <c r="K20" s="31"/>
      <c r="L20" s="31"/>
      <c r="M20" s="31"/>
      <c r="N20" s="31"/>
      <c r="O20" s="31"/>
      <c r="P20" s="31"/>
      <c r="Q20" s="31"/>
      <c r="R20" s="31"/>
      <c r="S20" s="31"/>
      <c r="T20" s="31"/>
      <c r="U20" s="31"/>
      <c r="V20" s="31"/>
      <c r="W20" s="31"/>
      <c r="X20" s="31"/>
      <c r="Y20" s="31"/>
      <c r="Z20" s="31"/>
      <c r="AA20" s="31"/>
      <c r="AB20" s="31"/>
      <c r="AC20" s="31"/>
      <c r="AD20" s="31"/>
    </row>
    <row r="22" spans="3:30" x14ac:dyDescent="0.25">
      <c r="D22" s="29" t="s">
        <v>151</v>
      </c>
    </row>
    <row r="23" spans="3:30" x14ac:dyDescent="0.25">
      <c r="E23" s="32"/>
    </row>
    <row r="24" spans="3:30" x14ac:dyDescent="0.25">
      <c r="E24" s="32" t="s">
        <v>152</v>
      </c>
      <c r="F24" s="29"/>
      <c r="I24" t="s">
        <v>153</v>
      </c>
      <c r="AD24" t="s">
        <v>154</v>
      </c>
    </row>
    <row r="25" spans="3:30" x14ac:dyDescent="0.25">
      <c r="F25" s="23" t="s">
        <v>155</v>
      </c>
      <c r="G25" s="23" t="s">
        <v>148</v>
      </c>
      <c r="H25" s="250">
        <v>3</v>
      </c>
    </row>
    <row r="26" spans="3:30" x14ac:dyDescent="0.25">
      <c r="F26" t="s">
        <v>156</v>
      </c>
      <c r="G26" t="s">
        <v>148</v>
      </c>
      <c r="H26" s="246">
        <v>3</v>
      </c>
    </row>
    <row r="27" spans="3:30" x14ac:dyDescent="0.25">
      <c r="F27" t="s">
        <v>157</v>
      </c>
      <c r="G27" t="s">
        <v>148</v>
      </c>
      <c r="H27" s="246">
        <v>3</v>
      </c>
    </row>
    <row r="28" spans="3:30" x14ac:dyDescent="0.25">
      <c r="F28" t="s">
        <v>158</v>
      </c>
      <c r="G28" t="s">
        <v>148</v>
      </c>
      <c r="H28" s="246">
        <v>2</v>
      </c>
    </row>
    <row r="29" spans="3:30" x14ac:dyDescent="0.25">
      <c r="F29" t="s">
        <v>159</v>
      </c>
      <c r="G29" t="s">
        <v>148</v>
      </c>
      <c r="H29" s="246">
        <v>2</v>
      </c>
    </row>
    <row r="30" spans="3:30" x14ac:dyDescent="0.25">
      <c r="F30" t="s">
        <v>160</v>
      </c>
      <c r="G30" t="s">
        <v>148</v>
      </c>
      <c r="H30" s="246">
        <v>2</v>
      </c>
    </row>
    <row r="31" spans="3:30" x14ac:dyDescent="0.25">
      <c r="F31" s="37" t="s">
        <v>161</v>
      </c>
      <c r="G31" s="37" t="s">
        <v>148</v>
      </c>
      <c r="H31" s="251">
        <v>3</v>
      </c>
    </row>
    <row r="33" spans="3:30" x14ac:dyDescent="0.25">
      <c r="C33" s="31" t="str">
        <f ca="1">INDEX('Version control'!$H$34:$H$57,MATCH($A$1,'Version control'!$F$34:$F$57,0),1)&amp;"-C: Financial and general assumptions"</f>
        <v>Input 101-C: Financial and general assumptions</v>
      </c>
      <c r="D33" s="31"/>
      <c r="E33" s="31"/>
      <c r="F33" s="31"/>
      <c r="G33" s="31"/>
      <c r="H33" s="31"/>
      <c r="I33" s="31"/>
      <c r="J33" s="31"/>
      <c r="K33" s="31"/>
      <c r="L33" s="31"/>
      <c r="M33" s="31"/>
      <c r="N33" s="31"/>
      <c r="O33" s="31"/>
      <c r="P33" s="31"/>
      <c r="Q33" s="31"/>
      <c r="R33" s="31"/>
      <c r="S33" s="31"/>
      <c r="T33" s="31"/>
      <c r="U33" s="31"/>
      <c r="V33" s="31"/>
      <c r="W33" s="31"/>
      <c r="X33" s="31"/>
      <c r="Y33" s="31"/>
      <c r="Z33" s="31"/>
      <c r="AA33" s="31"/>
      <c r="AB33" s="31"/>
      <c r="AC33" s="31"/>
      <c r="AD33" s="31"/>
    </row>
    <row r="35" spans="3:30" x14ac:dyDescent="0.25">
      <c r="E35" s="28" t="s">
        <v>162</v>
      </c>
      <c r="G35" t="s">
        <v>163</v>
      </c>
      <c r="H35" s="246">
        <v>40</v>
      </c>
      <c r="I35" t="s">
        <v>153</v>
      </c>
      <c r="AD35" s="3" t="s">
        <v>164</v>
      </c>
    </row>
    <row r="37" spans="3:30" x14ac:dyDescent="0.25">
      <c r="E37" s="28" t="s">
        <v>165</v>
      </c>
      <c r="G37" t="s">
        <v>166</v>
      </c>
      <c r="H37" s="246">
        <v>0.95</v>
      </c>
      <c r="I37" t="s">
        <v>153</v>
      </c>
      <c r="AD37" t="s">
        <v>167</v>
      </c>
    </row>
    <row r="39" spans="3:30" x14ac:dyDescent="0.25">
      <c r="E39" s="28" t="s">
        <v>168</v>
      </c>
      <c r="G39" t="s">
        <v>166</v>
      </c>
      <c r="H39" s="252">
        <v>0.6</v>
      </c>
      <c r="I39" t="s">
        <v>153</v>
      </c>
      <c r="AD39" s="3" t="s">
        <v>169</v>
      </c>
    </row>
    <row r="41" spans="3:30" x14ac:dyDescent="0.25">
      <c r="E41" s="28" t="s">
        <v>170</v>
      </c>
      <c r="G41" s="28" t="s">
        <v>171</v>
      </c>
      <c r="H41" s="246">
        <v>500</v>
      </c>
      <c r="I41" t="s">
        <v>153</v>
      </c>
      <c r="AD41" s="63" t="s">
        <v>172</v>
      </c>
    </row>
    <row r="43" spans="3:30" x14ac:dyDescent="0.25">
      <c r="C43" s="31" t="str">
        <f ca="1">INDEX('Version control'!$H$34:$H$57,MATCH($A$1,'Version control'!$F$34:$F$57,0),1)&amp;"-D: Mappings"</f>
        <v>Input 101-D: Mappings</v>
      </c>
      <c r="D43" s="31"/>
      <c r="E43" s="31"/>
      <c r="F43" s="31"/>
      <c r="G43" s="31"/>
      <c r="H43" s="31"/>
      <c r="I43" s="31"/>
      <c r="J43" s="31"/>
      <c r="K43" s="31"/>
      <c r="L43" s="31"/>
      <c r="M43" s="31"/>
      <c r="N43" s="31"/>
      <c r="O43" s="31"/>
      <c r="P43" s="31"/>
      <c r="Q43" s="31"/>
      <c r="R43" s="31"/>
      <c r="S43" s="31"/>
      <c r="T43" s="31"/>
      <c r="U43" s="31"/>
      <c r="V43" s="31"/>
      <c r="W43" s="31"/>
      <c r="X43" s="31"/>
      <c r="Y43" s="31"/>
      <c r="Z43" s="31"/>
      <c r="AA43" s="31"/>
      <c r="AB43" s="31"/>
      <c r="AC43" s="31"/>
      <c r="AD43" s="31"/>
    </row>
    <row r="45" spans="3:30" x14ac:dyDescent="0.25">
      <c r="E45" s="32" t="s">
        <v>173</v>
      </c>
    </row>
    <row r="46" spans="3:30" x14ac:dyDescent="0.25">
      <c r="F46" s="64" t="s">
        <v>174</v>
      </c>
      <c r="G46" s="23" t="s">
        <v>175</v>
      </c>
      <c r="H46" s="23"/>
      <c r="I46" s="23"/>
      <c r="J46" s="250">
        <v>1</v>
      </c>
      <c r="K46" s="250">
        <v>1</v>
      </c>
      <c r="L46" s="250">
        <v>1</v>
      </c>
      <c r="M46" s="250">
        <v>1</v>
      </c>
      <c r="N46" s="250">
        <v>1</v>
      </c>
      <c r="O46" s="250">
        <v>0</v>
      </c>
      <c r="P46" s="250">
        <v>0</v>
      </c>
      <c r="Q46" s="250">
        <v>1</v>
      </c>
      <c r="R46" s="250">
        <v>0</v>
      </c>
      <c r="S46" s="250">
        <v>0</v>
      </c>
      <c r="T46" s="250">
        <v>1</v>
      </c>
      <c r="U46" s="65"/>
      <c r="V46" s="65"/>
      <c r="W46" s="65"/>
      <c r="X46" s="65"/>
      <c r="Y46" s="65"/>
      <c r="Z46" s="65"/>
      <c r="AA46" s="65"/>
      <c r="AB46" s="65"/>
    </row>
    <row r="47" spans="3:30" x14ac:dyDescent="0.25">
      <c r="F47" s="28" t="s">
        <v>176</v>
      </c>
      <c r="G47" t="s">
        <v>175</v>
      </c>
      <c r="J47" s="246">
        <v>1</v>
      </c>
      <c r="K47" s="246">
        <v>1</v>
      </c>
      <c r="L47" s="246">
        <v>1</v>
      </c>
      <c r="M47" s="246">
        <v>1</v>
      </c>
      <c r="N47" s="246">
        <v>1</v>
      </c>
      <c r="O47" s="246">
        <v>0</v>
      </c>
      <c r="P47" s="246">
        <v>0</v>
      </c>
      <c r="Q47" s="246">
        <v>1</v>
      </c>
      <c r="R47" s="246">
        <v>0</v>
      </c>
      <c r="S47" s="246">
        <v>0</v>
      </c>
      <c r="T47" s="246">
        <v>1</v>
      </c>
      <c r="U47" s="66"/>
      <c r="V47" s="66"/>
      <c r="W47" s="66"/>
      <c r="X47" s="66"/>
      <c r="Y47" s="66"/>
      <c r="Z47" s="66"/>
      <c r="AA47" s="66"/>
      <c r="AB47" s="66"/>
    </row>
    <row r="48" spans="3:30" x14ac:dyDescent="0.25">
      <c r="F48" s="28" t="s">
        <v>177</v>
      </c>
      <c r="G48" t="s">
        <v>175</v>
      </c>
      <c r="J48" s="246">
        <v>0</v>
      </c>
      <c r="K48" s="246">
        <v>0</v>
      </c>
      <c r="L48" s="246">
        <v>0</v>
      </c>
      <c r="M48" s="246">
        <v>0</v>
      </c>
      <c r="N48" s="246">
        <v>0</v>
      </c>
      <c r="O48" s="246">
        <v>1</v>
      </c>
      <c r="P48" s="246">
        <v>0</v>
      </c>
      <c r="Q48" s="246">
        <v>0</v>
      </c>
      <c r="R48" s="246">
        <v>1</v>
      </c>
      <c r="S48" s="246">
        <v>0</v>
      </c>
      <c r="T48" s="246">
        <v>0</v>
      </c>
      <c r="U48" s="66"/>
      <c r="V48" s="66"/>
      <c r="W48" s="66"/>
      <c r="X48" s="66"/>
      <c r="Y48" s="66"/>
      <c r="Z48" s="66"/>
      <c r="AA48" s="66"/>
      <c r="AB48" s="66"/>
    </row>
    <row r="49" spans="5:30" x14ac:dyDescent="0.25">
      <c r="F49" s="67" t="s">
        <v>178</v>
      </c>
      <c r="G49" s="37" t="s">
        <v>175</v>
      </c>
      <c r="H49" s="37"/>
      <c r="I49" s="37"/>
      <c r="J49" s="251">
        <v>0</v>
      </c>
      <c r="K49" s="251">
        <v>0</v>
      </c>
      <c r="L49" s="251">
        <v>0</v>
      </c>
      <c r="M49" s="251">
        <v>0</v>
      </c>
      <c r="N49" s="251">
        <v>0</v>
      </c>
      <c r="O49" s="251">
        <v>0</v>
      </c>
      <c r="P49" s="251">
        <v>1</v>
      </c>
      <c r="Q49" s="251">
        <v>0</v>
      </c>
      <c r="R49" s="251">
        <v>0</v>
      </c>
      <c r="S49" s="251">
        <v>1</v>
      </c>
      <c r="T49" s="251">
        <v>0</v>
      </c>
      <c r="U49" s="68"/>
      <c r="V49" s="68"/>
      <c r="W49" s="68"/>
      <c r="X49" s="68"/>
      <c r="Y49" s="68"/>
      <c r="Z49" s="68"/>
      <c r="AA49" s="68"/>
      <c r="AB49" s="68"/>
    </row>
    <row r="51" spans="5:30" x14ac:dyDescent="0.25">
      <c r="E51" s="32" t="s">
        <v>179</v>
      </c>
      <c r="I51" t="s">
        <v>153</v>
      </c>
      <c r="AD51" s="3" t="s">
        <v>180</v>
      </c>
    </row>
    <row r="52" spans="5:30" x14ac:dyDescent="0.25">
      <c r="E52" s="29" t="s">
        <v>181</v>
      </c>
    </row>
    <row r="53" spans="5:30" x14ac:dyDescent="0.25">
      <c r="F53" s="64" t="s">
        <v>182</v>
      </c>
      <c r="G53" s="23" t="s">
        <v>175</v>
      </c>
      <c r="H53" s="69"/>
      <c r="I53" s="69"/>
      <c r="J53" s="250">
        <v>0</v>
      </c>
      <c r="K53" s="250">
        <v>0</v>
      </c>
      <c r="L53" s="250">
        <v>0</v>
      </c>
      <c r="M53" s="250">
        <v>0</v>
      </c>
      <c r="N53" s="250">
        <v>0</v>
      </c>
      <c r="O53" s="250">
        <v>0</v>
      </c>
      <c r="P53" s="250">
        <v>0</v>
      </c>
      <c r="Q53" s="250">
        <v>0</v>
      </c>
      <c r="R53" s="250">
        <v>0</v>
      </c>
      <c r="S53" s="250">
        <v>0</v>
      </c>
      <c r="T53" s="250">
        <v>0</v>
      </c>
      <c r="U53" s="250">
        <v>0</v>
      </c>
      <c r="V53" s="250">
        <v>0</v>
      </c>
      <c r="W53" s="250">
        <v>0</v>
      </c>
      <c r="X53" s="250">
        <v>0</v>
      </c>
      <c r="Y53" s="250">
        <v>0</v>
      </c>
      <c r="Z53" s="250">
        <v>0</v>
      </c>
      <c r="AA53" s="250">
        <v>0</v>
      </c>
      <c r="AB53" s="250">
        <v>0</v>
      </c>
    </row>
    <row r="54" spans="5:30" x14ac:dyDescent="0.25">
      <c r="F54" s="28" t="s">
        <v>183</v>
      </c>
      <c r="G54" t="s">
        <v>175</v>
      </c>
      <c r="J54" s="246">
        <v>0</v>
      </c>
      <c r="K54" s="246">
        <v>0</v>
      </c>
      <c r="L54" s="246">
        <v>0</v>
      </c>
      <c r="M54" s="246">
        <v>0</v>
      </c>
      <c r="N54" s="246">
        <v>0</v>
      </c>
      <c r="O54" s="246">
        <v>0</v>
      </c>
      <c r="P54" s="246">
        <v>1</v>
      </c>
      <c r="Q54" s="246">
        <v>0</v>
      </c>
      <c r="R54" s="246">
        <v>0</v>
      </c>
      <c r="S54" s="246">
        <v>1</v>
      </c>
      <c r="T54" s="246">
        <v>0</v>
      </c>
      <c r="U54" s="246">
        <v>0</v>
      </c>
      <c r="V54" s="246">
        <v>0</v>
      </c>
      <c r="W54" s="246">
        <v>0</v>
      </c>
      <c r="X54" s="246">
        <v>0</v>
      </c>
      <c r="Y54" s="246">
        <v>0</v>
      </c>
      <c r="Z54" s="246">
        <v>0</v>
      </c>
      <c r="AA54" s="246">
        <v>1</v>
      </c>
      <c r="AB54" s="246">
        <v>1</v>
      </c>
    </row>
    <row r="55" spans="5:30" x14ac:dyDescent="0.25">
      <c r="F55" s="28" t="s">
        <v>184</v>
      </c>
      <c r="G55" t="s">
        <v>175</v>
      </c>
      <c r="J55" s="246">
        <v>0</v>
      </c>
      <c r="K55" s="246">
        <v>0</v>
      </c>
      <c r="L55" s="246">
        <v>0</v>
      </c>
      <c r="M55" s="246">
        <v>0</v>
      </c>
      <c r="N55" s="246">
        <v>0</v>
      </c>
      <c r="O55" s="246">
        <v>1</v>
      </c>
      <c r="P55" s="246">
        <v>0</v>
      </c>
      <c r="Q55" s="246">
        <v>0</v>
      </c>
      <c r="R55" s="246">
        <v>1</v>
      </c>
      <c r="S55" s="246">
        <v>0</v>
      </c>
      <c r="T55" s="246">
        <v>0</v>
      </c>
      <c r="U55" s="246">
        <v>0</v>
      </c>
      <c r="V55" s="246">
        <v>1</v>
      </c>
      <c r="W55" s="246">
        <v>0</v>
      </c>
      <c r="X55" s="246">
        <v>0</v>
      </c>
      <c r="Y55" s="246">
        <v>1</v>
      </c>
      <c r="Z55" s="246">
        <v>1</v>
      </c>
      <c r="AA55" s="246">
        <v>0</v>
      </c>
      <c r="AB55" s="246">
        <v>0</v>
      </c>
    </row>
    <row r="56" spans="5:30" x14ac:dyDescent="0.25">
      <c r="F56" s="67" t="s">
        <v>185</v>
      </c>
      <c r="G56" s="37" t="s">
        <v>175</v>
      </c>
      <c r="H56" s="37"/>
      <c r="I56" s="37"/>
      <c r="J56" s="251">
        <v>1</v>
      </c>
      <c r="K56" s="251">
        <v>1</v>
      </c>
      <c r="L56" s="251">
        <v>1</v>
      </c>
      <c r="M56" s="251">
        <v>1</v>
      </c>
      <c r="N56" s="251">
        <v>1</v>
      </c>
      <c r="O56" s="251">
        <v>0</v>
      </c>
      <c r="P56" s="251">
        <v>0</v>
      </c>
      <c r="Q56" s="251">
        <v>1</v>
      </c>
      <c r="R56" s="251">
        <v>0</v>
      </c>
      <c r="S56" s="251">
        <v>0</v>
      </c>
      <c r="T56" s="251">
        <v>1</v>
      </c>
      <c r="U56" s="251">
        <v>1</v>
      </c>
      <c r="V56" s="251">
        <v>0</v>
      </c>
      <c r="W56" s="251">
        <v>1</v>
      </c>
      <c r="X56" s="251">
        <v>1</v>
      </c>
      <c r="Y56" s="251">
        <v>0</v>
      </c>
      <c r="Z56" s="251">
        <v>0</v>
      </c>
      <c r="AA56" s="251">
        <v>0</v>
      </c>
      <c r="AB56" s="251">
        <v>0</v>
      </c>
    </row>
    <row r="57" spans="5:30" x14ac:dyDescent="0.25">
      <c r="H57" s="3"/>
      <c r="I57" s="3"/>
    </row>
    <row r="58" spans="5:30" x14ac:dyDescent="0.25">
      <c r="E58" s="32" t="s">
        <v>186</v>
      </c>
    </row>
    <row r="59" spans="5:30" x14ac:dyDescent="0.25">
      <c r="E59" s="29" t="s">
        <v>187</v>
      </c>
    </row>
    <row r="60" spans="5:30" x14ac:dyDescent="0.25">
      <c r="F60" s="23" t="s">
        <v>188</v>
      </c>
      <c r="G60" s="23" t="s">
        <v>189</v>
      </c>
      <c r="H60" s="23"/>
      <c r="I60" s="23"/>
      <c r="J60" s="250">
        <v>1</v>
      </c>
      <c r="K60" s="250">
        <v>1</v>
      </c>
      <c r="L60" s="250">
        <v>1</v>
      </c>
      <c r="M60" s="250">
        <v>1</v>
      </c>
      <c r="N60" s="250">
        <v>1</v>
      </c>
      <c r="O60" s="250">
        <v>1</v>
      </c>
      <c r="P60" s="250">
        <v>1</v>
      </c>
      <c r="Q60" s="250">
        <v>1</v>
      </c>
      <c r="R60" s="250">
        <v>1</v>
      </c>
      <c r="S60" s="250">
        <v>1</v>
      </c>
      <c r="T60" s="250">
        <v>1</v>
      </c>
      <c r="U60" s="250">
        <v>-1</v>
      </c>
      <c r="V60" s="250">
        <v>-1</v>
      </c>
      <c r="W60" s="250">
        <v>-1</v>
      </c>
      <c r="X60" s="250">
        <v>-1</v>
      </c>
      <c r="Y60" s="250">
        <v>-1</v>
      </c>
      <c r="Z60" s="250">
        <v>-1</v>
      </c>
      <c r="AA60" s="250">
        <v>-1</v>
      </c>
      <c r="AB60" s="250">
        <v>-1</v>
      </c>
    </row>
    <row r="61" spans="5:30" x14ac:dyDescent="0.25">
      <c r="F61" t="s">
        <v>190</v>
      </c>
      <c r="G61" t="s">
        <v>189</v>
      </c>
      <c r="J61" s="246">
        <v>1</v>
      </c>
      <c r="K61" s="246">
        <v>1</v>
      </c>
      <c r="L61" s="246">
        <v>1</v>
      </c>
      <c r="M61" s="246">
        <v>1</v>
      </c>
      <c r="N61" s="246">
        <v>1</v>
      </c>
      <c r="O61" s="246">
        <v>1</v>
      </c>
      <c r="P61" s="246">
        <v>1</v>
      </c>
      <c r="Q61" s="246">
        <v>1</v>
      </c>
      <c r="R61" s="246">
        <v>1</v>
      </c>
      <c r="S61" s="246">
        <v>1</v>
      </c>
      <c r="T61" s="246">
        <v>1</v>
      </c>
      <c r="U61" s="246">
        <v>-1</v>
      </c>
      <c r="V61" s="246">
        <v>-1</v>
      </c>
      <c r="W61" s="246">
        <v>-1</v>
      </c>
      <c r="X61" s="246">
        <v>-1</v>
      </c>
      <c r="Y61" s="246">
        <v>-1</v>
      </c>
      <c r="Z61" s="246">
        <v>-1</v>
      </c>
      <c r="AA61" s="246">
        <v>-1</v>
      </c>
      <c r="AB61" s="246">
        <v>-1</v>
      </c>
    </row>
    <row r="62" spans="5:30" x14ac:dyDescent="0.25">
      <c r="F62" t="s">
        <v>191</v>
      </c>
      <c r="G62" t="s">
        <v>189</v>
      </c>
      <c r="J62" s="246">
        <v>1</v>
      </c>
      <c r="K62" s="246">
        <v>1</v>
      </c>
      <c r="L62" s="246">
        <v>1</v>
      </c>
      <c r="M62" s="246">
        <v>1</v>
      </c>
      <c r="N62" s="246">
        <v>1</v>
      </c>
      <c r="O62" s="246">
        <v>1</v>
      </c>
      <c r="P62" s="246">
        <v>1</v>
      </c>
      <c r="Q62" s="246">
        <v>1</v>
      </c>
      <c r="R62" s="246">
        <v>1</v>
      </c>
      <c r="S62" s="246">
        <v>1</v>
      </c>
      <c r="T62" s="246">
        <v>1</v>
      </c>
      <c r="U62" s="246">
        <v>-1</v>
      </c>
      <c r="V62" s="246">
        <v>-1</v>
      </c>
      <c r="W62" s="246">
        <v>-1</v>
      </c>
      <c r="X62" s="246">
        <v>-1</v>
      </c>
      <c r="Y62" s="246">
        <v>-1</v>
      </c>
      <c r="Z62" s="246">
        <v>-1</v>
      </c>
      <c r="AA62" s="246">
        <v>-1</v>
      </c>
      <c r="AB62" s="246">
        <v>-1</v>
      </c>
    </row>
    <row r="63" spans="5:30" x14ac:dyDescent="0.25">
      <c r="F63" t="s">
        <v>192</v>
      </c>
      <c r="G63" t="s">
        <v>189</v>
      </c>
      <c r="J63" s="246">
        <v>1</v>
      </c>
      <c r="K63" s="246">
        <v>1</v>
      </c>
      <c r="L63" s="246">
        <v>1</v>
      </c>
      <c r="M63" s="246">
        <v>1</v>
      </c>
      <c r="N63" s="246">
        <v>1</v>
      </c>
      <c r="O63" s="246">
        <v>1</v>
      </c>
      <c r="P63" s="246">
        <v>1</v>
      </c>
      <c r="Q63" s="246">
        <v>1</v>
      </c>
      <c r="R63" s="246">
        <v>1</v>
      </c>
      <c r="S63" s="246">
        <v>1</v>
      </c>
      <c r="T63" s="246">
        <v>1</v>
      </c>
      <c r="U63" s="246">
        <v>-1</v>
      </c>
      <c r="V63" s="246">
        <v>-1</v>
      </c>
      <c r="W63" s="246">
        <v>-1</v>
      </c>
      <c r="X63" s="246">
        <v>-1</v>
      </c>
      <c r="Y63" s="246">
        <v>-1</v>
      </c>
      <c r="Z63" s="246">
        <v>-1</v>
      </c>
      <c r="AA63" s="246">
        <v>-1</v>
      </c>
      <c r="AB63" s="246">
        <v>-1</v>
      </c>
    </row>
    <row r="64" spans="5:30" x14ac:dyDescent="0.25">
      <c r="F64" t="s">
        <v>193</v>
      </c>
      <c r="G64" t="s">
        <v>189</v>
      </c>
      <c r="J64" s="246">
        <v>1</v>
      </c>
      <c r="K64" s="246">
        <v>1</v>
      </c>
      <c r="L64" s="246">
        <v>1</v>
      </c>
      <c r="M64" s="246">
        <v>1</v>
      </c>
      <c r="N64" s="246">
        <v>1</v>
      </c>
      <c r="O64" s="246">
        <v>1</v>
      </c>
      <c r="P64" s="246">
        <v>1</v>
      </c>
      <c r="Q64" s="246">
        <v>1</v>
      </c>
      <c r="R64" s="246">
        <v>1</v>
      </c>
      <c r="S64" s="246">
        <v>1</v>
      </c>
      <c r="T64" s="246">
        <v>1</v>
      </c>
      <c r="U64" s="246">
        <v>-1</v>
      </c>
      <c r="V64" s="246">
        <v>-1</v>
      </c>
      <c r="W64" s="246">
        <v>-1</v>
      </c>
      <c r="X64" s="246">
        <v>-1</v>
      </c>
      <c r="Y64" s="246">
        <v>-1</v>
      </c>
      <c r="Z64" s="246">
        <v>-1</v>
      </c>
      <c r="AA64" s="246">
        <v>-1</v>
      </c>
      <c r="AB64" s="246">
        <v>-1</v>
      </c>
    </row>
    <row r="65" spans="5:30" x14ac:dyDescent="0.25">
      <c r="F65" t="s">
        <v>194</v>
      </c>
      <c r="G65" t="s">
        <v>189</v>
      </c>
      <c r="J65" s="246">
        <v>1</v>
      </c>
      <c r="K65" s="246">
        <v>1</v>
      </c>
      <c r="L65" s="246">
        <v>1</v>
      </c>
      <c r="M65" s="246">
        <v>1</v>
      </c>
      <c r="N65" s="246">
        <v>1</v>
      </c>
      <c r="O65" s="246">
        <v>1</v>
      </c>
      <c r="P65" s="246">
        <v>1</v>
      </c>
      <c r="Q65" s="246">
        <v>1</v>
      </c>
      <c r="R65" s="246">
        <v>1</v>
      </c>
      <c r="S65" s="246">
        <v>1</v>
      </c>
      <c r="T65" s="246">
        <v>1</v>
      </c>
      <c r="U65" s="246">
        <v>-1</v>
      </c>
      <c r="V65" s="246">
        <v>-1</v>
      </c>
      <c r="W65" s="246">
        <v>-1</v>
      </c>
      <c r="X65" s="246">
        <v>-1</v>
      </c>
      <c r="Y65" s="246">
        <v>-1</v>
      </c>
      <c r="Z65" s="246">
        <v>-1</v>
      </c>
      <c r="AA65" s="246">
        <v>-1</v>
      </c>
      <c r="AB65" s="246">
        <v>-1</v>
      </c>
    </row>
    <row r="66" spans="5:30" x14ac:dyDescent="0.25">
      <c r="F66" t="s">
        <v>195</v>
      </c>
      <c r="G66" t="s">
        <v>189</v>
      </c>
      <c r="J66" s="246">
        <v>1</v>
      </c>
      <c r="K66" s="246">
        <v>1</v>
      </c>
      <c r="L66" s="246">
        <v>1</v>
      </c>
      <c r="M66" s="246">
        <v>1</v>
      </c>
      <c r="N66" s="246">
        <v>1</v>
      </c>
      <c r="O66" s="246">
        <v>1</v>
      </c>
      <c r="P66" s="246">
        <v>1</v>
      </c>
      <c r="Q66" s="246">
        <v>1</v>
      </c>
      <c r="R66" s="246">
        <v>1</v>
      </c>
      <c r="S66" s="246">
        <v>1</v>
      </c>
      <c r="T66" s="246">
        <v>1</v>
      </c>
      <c r="U66" s="246">
        <v>-1</v>
      </c>
      <c r="V66" s="246">
        <v>-1</v>
      </c>
      <c r="W66" s="246">
        <v>-1</v>
      </c>
      <c r="X66" s="246">
        <v>-1</v>
      </c>
      <c r="Y66" s="246">
        <v>-1</v>
      </c>
      <c r="Z66" s="246">
        <v>-1</v>
      </c>
      <c r="AA66" s="246">
        <v>-1</v>
      </c>
      <c r="AB66" s="246">
        <v>-1</v>
      </c>
    </row>
    <row r="67" spans="5:30" x14ac:dyDescent="0.25">
      <c r="F67" t="s">
        <v>196</v>
      </c>
      <c r="G67" t="s">
        <v>189</v>
      </c>
      <c r="J67" s="246">
        <v>1</v>
      </c>
      <c r="K67" s="246">
        <v>1</v>
      </c>
      <c r="L67" s="246">
        <v>1</v>
      </c>
      <c r="M67" s="246">
        <v>1</v>
      </c>
      <c r="N67" s="246">
        <v>1</v>
      </c>
      <c r="O67" s="246">
        <v>1</v>
      </c>
      <c r="P67" s="246">
        <v>1</v>
      </c>
      <c r="Q67" s="246">
        <v>1</v>
      </c>
      <c r="R67" s="246">
        <v>1</v>
      </c>
      <c r="S67" s="246">
        <v>1</v>
      </c>
      <c r="T67" s="246">
        <v>1</v>
      </c>
      <c r="U67" s="246">
        <v>-1</v>
      </c>
      <c r="V67" s="246">
        <v>-1</v>
      </c>
      <c r="W67" s="246">
        <v>-1</v>
      </c>
      <c r="X67" s="246">
        <v>-1</v>
      </c>
      <c r="Y67" s="246">
        <v>-1</v>
      </c>
      <c r="Z67" s="246">
        <v>-1</v>
      </c>
      <c r="AA67" s="246">
        <v>-1</v>
      </c>
      <c r="AB67" s="246">
        <v>-1</v>
      </c>
    </row>
    <row r="68" spans="5:30" x14ac:dyDescent="0.25">
      <c r="F68" t="s">
        <v>197</v>
      </c>
      <c r="G68" t="s">
        <v>189</v>
      </c>
      <c r="J68" s="246">
        <v>1</v>
      </c>
      <c r="K68" s="246">
        <v>1</v>
      </c>
      <c r="L68" s="246">
        <v>1</v>
      </c>
      <c r="M68" s="246">
        <v>1</v>
      </c>
      <c r="N68" s="246">
        <v>1</v>
      </c>
      <c r="O68" s="246">
        <v>1</v>
      </c>
      <c r="P68" s="246">
        <v>0</v>
      </c>
      <c r="Q68" s="246">
        <v>1</v>
      </c>
      <c r="R68" s="246">
        <v>1</v>
      </c>
      <c r="S68" s="246">
        <v>0</v>
      </c>
      <c r="T68" s="246">
        <v>1</v>
      </c>
      <c r="U68" s="246">
        <v>-1</v>
      </c>
      <c r="V68" s="246">
        <v>-1</v>
      </c>
      <c r="W68" s="246">
        <v>-1</v>
      </c>
      <c r="X68" s="246">
        <v>-1</v>
      </c>
      <c r="Y68" s="246">
        <v>-1</v>
      </c>
      <c r="Z68" s="246">
        <v>-1</v>
      </c>
      <c r="AA68" s="246">
        <v>0</v>
      </c>
      <c r="AB68" s="246">
        <v>0</v>
      </c>
    </row>
    <row r="69" spans="5:30" x14ac:dyDescent="0.25">
      <c r="F69" s="37" t="s">
        <v>198</v>
      </c>
      <c r="G69" s="37" t="s">
        <v>189</v>
      </c>
      <c r="H69" s="37"/>
      <c r="I69" s="37"/>
      <c r="J69" s="251">
        <v>1</v>
      </c>
      <c r="K69" s="251">
        <v>1</v>
      </c>
      <c r="L69" s="251">
        <v>1</v>
      </c>
      <c r="M69" s="251">
        <v>1</v>
      </c>
      <c r="N69" s="251">
        <v>1</v>
      </c>
      <c r="O69" s="251">
        <v>0</v>
      </c>
      <c r="P69" s="251">
        <v>0</v>
      </c>
      <c r="Q69" s="251">
        <v>1</v>
      </c>
      <c r="R69" s="251">
        <v>0</v>
      </c>
      <c r="S69" s="251">
        <v>0</v>
      </c>
      <c r="T69" s="251">
        <v>1</v>
      </c>
      <c r="U69" s="251">
        <v>-1</v>
      </c>
      <c r="V69" s="251">
        <v>0</v>
      </c>
      <c r="W69" s="251">
        <v>-1</v>
      </c>
      <c r="X69" s="251">
        <v>-1</v>
      </c>
      <c r="Y69" s="251">
        <v>0</v>
      </c>
      <c r="Z69" s="251">
        <v>0</v>
      </c>
      <c r="AA69" s="251">
        <v>0</v>
      </c>
      <c r="AB69" s="251">
        <v>0</v>
      </c>
    </row>
    <row r="71" spans="5:30" x14ac:dyDescent="0.25">
      <c r="E71" s="32" t="s">
        <v>199</v>
      </c>
      <c r="I71" t="s">
        <v>153</v>
      </c>
      <c r="AD71" s="3" t="s">
        <v>200</v>
      </c>
    </row>
    <row r="72" spans="5:30" x14ac:dyDescent="0.25">
      <c r="E72" s="29" t="s">
        <v>201</v>
      </c>
    </row>
    <row r="73" spans="5:30" x14ac:dyDescent="0.25">
      <c r="E73" s="29"/>
      <c r="F73" s="23" t="s">
        <v>188</v>
      </c>
      <c r="G73" s="23" t="s">
        <v>189</v>
      </c>
      <c r="H73" s="23"/>
      <c r="I73" s="23"/>
      <c r="J73" s="250">
        <v>1</v>
      </c>
      <c r="K73" s="250">
        <v>1</v>
      </c>
      <c r="L73" s="250">
        <v>1</v>
      </c>
      <c r="M73" s="250">
        <v>1</v>
      </c>
      <c r="N73" s="250">
        <v>1</v>
      </c>
      <c r="O73" s="250">
        <v>1</v>
      </c>
      <c r="P73" s="250">
        <v>1</v>
      </c>
      <c r="Q73" s="250">
        <v>1</v>
      </c>
      <c r="R73" s="250">
        <v>1</v>
      </c>
      <c r="S73" s="250">
        <v>1</v>
      </c>
      <c r="T73" s="250">
        <v>1</v>
      </c>
      <c r="U73" s="250">
        <v>-1</v>
      </c>
      <c r="V73" s="250">
        <v>-1</v>
      </c>
      <c r="W73" s="250">
        <v>-1</v>
      </c>
      <c r="X73" s="250">
        <v>-1</v>
      </c>
      <c r="Y73" s="250">
        <v>-1</v>
      </c>
      <c r="Z73" s="250">
        <v>-1</v>
      </c>
      <c r="AA73" s="250">
        <v>-1</v>
      </c>
      <c r="AB73" s="250">
        <v>-1</v>
      </c>
    </row>
    <row r="74" spans="5:30" x14ac:dyDescent="0.25">
      <c r="E74" s="29"/>
      <c r="F74" t="s">
        <v>190</v>
      </c>
      <c r="G74" t="s">
        <v>189</v>
      </c>
      <c r="J74" s="246">
        <v>1</v>
      </c>
      <c r="K74" s="246">
        <v>1</v>
      </c>
      <c r="L74" s="246">
        <v>1</v>
      </c>
      <c r="M74" s="246">
        <v>1</v>
      </c>
      <c r="N74" s="246">
        <v>1</v>
      </c>
      <c r="O74" s="246">
        <v>1</v>
      </c>
      <c r="P74" s="246">
        <v>1</v>
      </c>
      <c r="Q74" s="246">
        <v>1</v>
      </c>
      <c r="R74" s="246">
        <v>1</v>
      </c>
      <c r="S74" s="246">
        <v>1</v>
      </c>
      <c r="T74" s="246">
        <v>1</v>
      </c>
      <c r="U74" s="246">
        <v>-1</v>
      </c>
      <c r="V74" s="246">
        <v>-1</v>
      </c>
      <c r="W74" s="246">
        <v>-1</v>
      </c>
      <c r="X74" s="246">
        <v>-1</v>
      </c>
      <c r="Y74" s="246">
        <v>-1</v>
      </c>
      <c r="Z74" s="246">
        <v>-1</v>
      </c>
      <c r="AA74" s="246">
        <v>-1</v>
      </c>
      <c r="AB74" s="246">
        <v>-1</v>
      </c>
    </row>
    <row r="75" spans="5:30" x14ac:dyDescent="0.25">
      <c r="E75" s="29"/>
      <c r="F75" t="s">
        <v>191</v>
      </c>
      <c r="G75" t="s">
        <v>189</v>
      </c>
      <c r="J75" s="246">
        <v>1</v>
      </c>
      <c r="K75" s="246">
        <v>1</v>
      </c>
      <c r="L75" s="246">
        <v>1</v>
      </c>
      <c r="M75" s="246">
        <v>1</v>
      </c>
      <c r="N75" s="246">
        <v>1</v>
      </c>
      <c r="O75" s="246">
        <v>1</v>
      </c>
      <c r="P75" s="246">
        <v>1</v>
      </c>
      <c r="Q75" s="246">
        <v>1</v>
      </c>
      <c r="R75" s="246">
        <v>1</v>
      </c>
      <c r="S75" s="246">
        <v>1</v>
      </c>
      <c r="T75" s="246">
        <v>1</v>
      </c>
      <c r="U75" s="246">
        <v>-1</v>
      </c>
      <c r="V75" s="246">
        <v>-1</v>
      </c>
      <c r="W75" s="246">
        <v>-1</v>
      </c>
      <c r="X75" s="246">
        <v>-1</v>
      </c>
      <c r="Y75" s="246">
        <v>-1</v>
      </c>
      <c r="Z75" s="246">
        <v>-1</v>
      </c>
      <c r="AA75" s="246">
        <v>-1</v>
      </c>
      <c r="AB75" s="246">
        <v>-1</v>
      </c>
    </row>
    <row r="76" spans="5:30" x14ac:dyDescent="0.25">
      <c r="E76" s="29"/>
      <c r="F76" t="s">
        <v>192</v>
      </c>
      <c r="G76" t="s">
        <v>189</v>
      </c>
      <c r="J76" s="246">
        <v>1</v>
      </c>
      <c r="K76" s="246">
        <v>1</v>
      </c>
      <c r="L76" s="246">
        <v>1</v>
      </c>
      <c r="M76" s="246">
        <v>1</v>
      </c>
      <c r="N76" s="246">
        <v>1</v>
      </c>
      <c r="O76" s="246">
        <v>1</v>
      </c>
      <c r="P76" s="246">
        <v>1</v>
      </c>
      <c r="Q76" s="246">
        <v>1</v>
      </c>
      <c r="R76" s="246">
        <v>1</v>
      </c>
      <c r="S76" s="246">
        <v>1</v>
      </c>
      <c r="T76" s="246">
        <v>1</v>
      </c>
      <c r="U76" s="246">
        <v>-1</v>
      </c>
      <c r="V76" s="246">
        <v>-1</v>
      </c>
      <c r="W76" s="246">
        <v>-1</v>
      </c>
      <c r="X76" s="246">
        <v>-1</v>
      </c>
      <c r="Y76" s="246">
        <v>-1</v>
      </c>
      <c r="Z76" s="246">
        <v>-1</v>
      </c>
      <c r="AA76" s="246">
        <v>-1</v>
      </c>
      <c r="AB76" s="246">
        <v>-1</v>
      </c>
    </row>
    <row r="77" spans="5:30" x14ac:dyDescent="0.25">
      <c r="E77" s="29"/>
      <c r="F77" t="s">
        <v>193</v>
      </c>
      <c r="G77" t="s">
        <v>189</v>
      </c>
      <c r="J77" s="246">
        <v>1</v>
      </c>
      <c r="K77" s="246">
        <v>1</v>
      </c>
      <c r="L77" s="246">
        <v>1</v>
      </c>
      <c r="M77" s="246">
        <v>1</v>
      </c>
      <c r="N77" s="246">
        <v>1</v>
      </c>
      <c r="O77" s="246">
        <v>1</v>
      </c>
      <c r="P77" s="246">
        <v>1</v>
      </c>
      <c r="Q77" s="246">
        <v>1</v>
      </c>
      <c r="R77" s="246">
        <v>1</v>
      </c>
      <c r="S77" s="246">
        <v>1</v>
      </c>
      <c r="T77" s="246">
        <v>1</v>
      </c>
      <c r="U77" s="246">
        <v>-1</v>
      </c>
      <c r="V77" s="246">
        <v>-1</v>
      </c>
      <c r="W77" s="246">
        <v>-1</v>
      </c>
      <c r="X77" s="246">
        <v>-1</v>
      </c>
      <c r="Y77" s="246">
        <v>-1</v>
      </c>
      <c r="Z77" s="246">
        <v>-1</v>
      </c>
      <c r="AA77" s="246">
        <v>-1</v>
      </c>
      <c r="AB77" s="246">
        <v>-1</v>
      </c>
    </row>
    <row r="78" spans="5:30" x14ac:dyDescent="0.25">
      <c r="E78" s="29"/>
      <c r="F78" t="s">
        <v>194</v>
      </c>
      <c r="G78" t="s">
        <v>189</v>
      </c>
      <c r="J78" s="246">
        <v>1</v>
      </c>
      <c r="K78" s="246">
        <v>1</v>
      </c>
      <c r="L78" s="246">
        <v>1</v>
      </c>
      <c r="M78" s="246">
        <v>1</v>
      </c>
      <c r="N78" s="246">
        <v>1</v>
      </c>
      <c r="O78" s="246">
        <v>1</v>
      </c>
      <c r="P78" s="246">
        <v>1</v>
      </c>
      <c r="Q78" s="246">
        <v>1</v>
      </c>
      <c r="R78" s="246">
        <v>1</v>
      </c>
      <c r="S78" s="246">
        <v>1</v>
      </c>
      <c r="T78" s="246">
        <v>1</v>
      </c>
      <c r="U78" s="246">
        <v>-1</v>
      </c>
      <c r="V78" s="246">
        <v>-1</v>
      </c>
      <c r="W78" s="246">
        <v>-1</v>
      </c>
      <c r="X78" s="246">
        <v>-1</v>
      </c>
      <c r="Y78" s="246">
        <v>-1</v>
      </c>
      <c r="Z78" s="246">
        <v>-1</v>
      </c>
      <c r="AA78" s="246">
        <v>-1</v>
      </c>
      <c r="AB78" s="246">
        <v>-1</v>
      </c>
    </row>
    <row r="79" spans="5:30" x14ac:dyDescent="0.25">
      <c r="E79" s="29"/>
      <c r="F79" t="s">
        <v>195</v>
      </c>
      <c r="G79" t="s">
        <v>189</v>
      </c>
      <c r="J79" s="246">
        <v>1</v>
      </c>
      <c r="K79" s="246">
        <v>1</v>
      </c>
      <c r="L79" s="246">
        <v>1</v>
      </c>
      <c r="M79" s="246">
        <v>1</v>
      </c>
      <c r="N79" s="246">
        <v>1</v>
      </c>
      <c r="O79" s="246">
        <v>1</v>
      </c>
      <c r="P79" s="246">
        <v>1</v>
      </c>
      <c r="Q79" s="246">
        <v>1</v>
      </c>
      <c r="R79" s="246">
        <v>1</v>
      </c>
      <c r="S79" s="246">
        <v>1</v>
      </c>
      <c r="T79" s="246">
        <v>1</v>
      </c>
      <c r="U79" s="246">
        <v>-1</v>
      </c>
      <c r="V79" s="246">
        <v>-1</v>
      </c>
      <c r="W79" s="246">
        <v>-1</v>
      </c>
      <c r="X79" s="246">
        <v>-1</v>
      </c>
      <c r="Y79" s="246">
        <v>-1</v>
      </c>
      <c r="Z79" s="246">
        <v>-1</v>
      </c>
      <c r="AA79" s="246">
        <v>-1</v>
      </c>
      <c r="AB79" s="246">
        <v>-1</v>
      </c>
    </row>
    <row r="80" spans="5:30" x14ac:dyDescent="0.25">
      <c r="E80" s="29"/>
      <c r="F80" t="s">
        <v>196</v>
      </c>
      <c r="G80" t="s">
        <v>189</v>
      </c>
      <c r="J80" s="246">
        <v>1</v>
      </c>
      <c r="K80" s="246">
        <v>1</v>
      </c>
      <c r="L80" s="246">
        <v>1</v>
      </c>
      <c r="M80" s="246">
        <v>1</v>
      </c>
      <c r="N80" s="246">
        <v>1</v>
      </c>
      <c r="O80" s="246">
        <v>1</v>
      </c>
      <c r="P80" s="246">
        <v>1</v>
      </c>
      <c r="Q80" s="246">
        <v>1</v>
      </c>
      <c r="R80" s="246">
        <v>1</v>
      </c>
      <c r="S80" s="246">
        <v>1</v>
      </c>
      <c r="T80" s="246">
        <v>1</v>
      </c>
      <c r="U80" s="246">
        <v>-1</v>
      </c>
      <c r="V80" s="246">
        <v>-1</v>
      </c>
      <c r="W80" s="246">
        <v>-1</v>
      </c>
      <c r="X80" s="246">
        <v>-1</v>
      </c>
      <c r="Y80" s="246">
        <v>-1</v>
      </c>
      <c r="Z80" s="246">
        <v>-1</v>
      </c>
      <c r="AA80" s="246">
        <v>0</v>
      </c>
      <c r="AB80" s="246">
        <v>0</v>
      </c>
    </row>
    <row r="81" spans="3:30" x14ac:dyDescent="0.25">
      <c r="E81" s="29"/>
      <c r="F81" t="s">
        <v>197</v>
      </c>
      <c r="G81" t="s">
        <v>189</v>
      </c>
      <c r="J81" s="246">
        <v>1</v>
      </c>
      <c r="K81" s="246">
        <v>1</v>
      </c>
      <c r="L81" s="246">
        <v>1</v>
      </c>
      <c r="M81" s="246">
        <v>1</v>
      </c>
      <c r="N81" s="246">
        <v>1</v>
      </c>
      <c r="O81" s="246">
        <v>1</v>
      </c>
      <c r="P81" s="246">
        <v>0</v>
      </c>
      <c r="Q81" s="246">
        <v>1</v>
      </c>
      <c r="R81" s="246">
        <v>1</v>
      </c>
      <c r="S81" s="246">
        <v>0</v>
      </c>
      <c r="T81" s="246">
        <v>1</v>
      </c>
      <c r="U81" s="246">
        <v>-1</v>
      </c>
      <c r="V81" s="246">
        <v>0</v>
      </c>
      <c r="W81" s="246">
        <v>-1</v>
      </c>
      <c r="X81" s="246">
        <v>-1</v>
      </c>
      <c r="Y81" s="246">
        <v>0</v>
      </c>
      <c r="Z81" s="246">
        <v>0</v>
      </c>
      <c r="AA81" s="246">
        <v>0</v>
      </c>
      <c r="AB81" s="246">
        <v>0</v>
      </c>
    </row>
    <row r="82" spans="3:30" x14ac:dyDescent="0.25">
      <c r="E82" s="29"/>
      <c r="F82" s="37" t="s">
        <v>198</v>
      </c>
      <c r="G82" s="37" t="s">
        <v>189</v>
      </c>
      <c r="H82" s="37"/>
      <c r="I82" s="37"/>
      <c r="J82" s="251">
        <v>1</v>
      </c>
      <c r="K82" s="251">
        <v>1</v>
      </c>
      <c r="L82" s="251">
        <v>1</v>
      </c>
      <c r="M82" s="251">
        <v>1</v>
      </c>
      <c r="N82" s="251">
        <v>1</v>
      </c>
      <c r="O82" s="251">
        <v>0</v>
      </c>
      <c r="P82" s="251">
        <v>0</v>
      </c>
      <c r="Q82" s="251">
        <v>1</v>
      </c>
      <c r="R82" s="251">
        <v>0</v>
      </c>
      <c r="S82" s="251">
        <v>0</v>
      </c>
      <c r="T82" s="251">
        <v>1</v>
      </c>
      <c r="U82" s="251">
        <v>0</v>
      </c>
      <c r="V82" s="251">
        <v>0</v>
      </c>
      <c r="W82" s="251">
        <v>0</v>
      </c>
      <c r="X82" s="251">
        <v>0</v>
      </c>
      <c r="Y82" s="251">
        <v>0</v>
      </c>
      <c r="Z82" s="251">
        <v>0</v>
      </c>
      <c r="AA82" s="251">
        <v>0</v>
      </c>
      <c r="AB82" s="251">
        <v>0</v>
      </c>
    </row>
    <row r="84" spans="3:30" x14ac:dyDescent="0.25">
      <c r="C84" s="31" t="str">
        <f ca="1">INDEX('Version control'!$H$34:$H$57,MATCH($A$1,'Version control'!$F$34:$F$57,0),1)&amp;"-E: Standing charge factors"</f>
        <v>Input 101-E: Standing charge factors</v>
      </c>
      <c r="D84" s="31"/>
      <c r="E84" s="31"/>
      <c r="F84" s="31"/>
      <c r="G84" s="31"/>
      <c r="H84" s="31"/>
      <c r="I84" s="31"/>
      <c r="J84" s="31"/>
      <c r="K84" s="31"/>
      <c r="L84" s="31"/>
      <c r="M84" s="31"/>
      <c r="N84" s="31"/>
      <c r="O84" s="31"/>
      <c r="P84" s="31"/>
      <c r="Q84" s="31"/>
      <c r="R84" s="31"/>
      <c r="S84" s="31"/>
      <c r="T84" s="31"/>
      <c r="U84" s="31"/>
      <c r="V84" s="31"/>
      <c r="W84" s="31"/>
      <c r="X84" s="31"/>
      <c r="Y84" s="31"/>
      <c r="Z84" s="31"/>
      <c r="AA84" s="31"/>
      <c r="AB84" s="31"/>
      <c r="AC84" s="31"/>
      <c r="AD84" s="31"/>
    </row>
    <row r="86" spans="3:30" x14ac:dyDescent="0.25">
      <c r="E86" s="32" t="s">
        <v>119</v>
      </c>
      <c r="F86" s="32"/>
      <c r="I86" t="s">
        <v>153</v>
      </c>
      <c r="AD86" t="s">
        <v>202</v>
      </c>
    </row>
    <row r="87" spans="3:30" x14ac:dyDescent="0.25">
      <c r="E87" s="29" t="s">
        <v>976</v>
      </c>
      <c r="F87" s="29"/>
    </row>
    <row r="88" spans="3:30" x14ac:dyDescent="0.25">
      <c r="E88" s="29"/>
      <c r="F88" s="23" t="s">
        <v>188</v>
      </c>
      <c r="G88" s="23" t="s">
        <v>166</v>
      </c>
      <c r="H88" s="23"/>
      <c r="I88" s="23"/>
      <c r="J88" s="65"/>
      <c r="K88" s="65"/>
      <c r="L88" s="65"/>
      <c r="M88" s="65"/>
      <c r="N88" s="65"/>
      <c r="O88" s="65"/>
      <c r="P88" s="65"/>
      <c r="Q88" s="65"/>
      <c r="R88" s="65"/>
      <c r="S88" s="65"/>
      <c r="T88" s="65"/>
      <c r="U88" s="65"/>
      <c r="V88" s="65"/>
      <c r="W88" s="65"/>
      <c r="X88" s="65"/>
      <c r="Y88" s="65"/>
      <c r="Z88" s="65"/>
      <c r="AA88" s="65"/>
      <c r="AB88" s="65"/>
    </row>
    <row r="89" spans="3:30" x14ac:dyDescent="0.25">
      <c r="E89" s="29"/>
      <c r="F89" t="s">
        <v>190</v>
      </c>
      <c r="G89" t="s">
        <v>166</v>
      </c>
      <c r="J89" s="66"/>
      <c r="K89" s="66"/>
      <c r="L89" s="66"/>
      <c r="M89" s="66"/>
      <c r="N89" s="66"/>
      <c r="O89" s="66"/>
      <c r="P89" s="66"/>
      <c r="Q89" s="66"/>
      <c r="R89" s="66"/>
      <c r="S89" s="66"/>
      <c r="T89" s="66"/>
      <c r="U89" s="66"/>
      <c r="V89" s="66"/>
      <c r="W89" s="66"/>
      <c r="X89" s="66"/>
      <c r="Y89" s="66"/>
      <c r="Z89" s="66"/>
      <c r="AA89" s="66"/>
      <c r="AB89" s="66"/>
    </row>
    <row r="90" spans="3:30" x14ac:dyDescent="0.25">
      <c r="E90" s="29"/>
      <c r="F90" t="s">
        <v>191</v>
      </c>
      <c r="G90" t="s">
        <v>166</v>
      </c>
      <c r="J90" s="70"/>
      <c r="K90" s="70"/>
      <c r="L90" s="70"/>
      <c r="M90" s="70"/>
      <c r="N90" s="70"/>
      <c r="O90" s="70"/>
      <c r="P90" s="70"/>
      <c r="Q90" s="70"/>
      <c r="R90" s="70"/>
      <c r="S90" s="70"/>
      <c r="T90" s="70"/>
      <c r="U90" s="66"/>
      <c r="V90" s="66"/>
      <c r="W90" s="66"/>
      <c r="X90" s="66"/>
      <c r="Y90" s="66"/>
      <c r="Z90" s="66"/>
      <c r="AA90" s="66"/>
      <c r="AB90" s="66"/>
    </row>
    <row r="91" spans="3:30" x14ac:dyDescent="0.25">
      <c r="E91" s="29"/>
      <c r="F91" t="s">
        <v>192</v>
      </c>
      <c r="G91" t="s">
        <v>166</v>
      </c>
      <c r="J91" s="70"/>
      <c r="K91" s="70"/>
      <c r="L91" s="70"/>
      <c r="M91" s="70"/>
      <c r="N91" s="70"/>
      <c r="O91" s="70"/>
      <c r="P91" s="70"/>
      <c r="Q91" s="70"/>
      <c r="R91" s="70"/>
      <c r="S91" s="70"/>
      <c r="T91" s="70"/>
      <c r="U91" s="66"/>
      <c r="V91" s="66"/>
      <c r="W91" s="66"/>
      <c r="X91" s="66"/>
      <c r="Y91" s="66"/>
      <c r="Z91" s="66"/>
      <c r="AA91" s="66"/>
      <c r="AB91" s="66"/>
    </row>
    <row r="92" spans="3:30" x14ac:dyDescent="0.25">
      <c r="E92" s="29"/>
      <c r="F92" t="s">
        <v>193</v>
      </c>
      <c r="G92" t="s">
        <v>166</v>
      </c>
      <c r="J92" s="70"/>
      <c r="K92" s="70"/>
      <c r="L92" s="70"/>
      <c r="M92" s="70"/>
      <c r="N92" s="70"/>
      <c r="O92" s="70"/>
      <c r="P92" s="252">
        <v>0.2</v>
      </c>
      <c r="Q92" s="252"/>
      <c r="R92" s="252"/>
      <c r="S92" s="252">
        <v>0.2</v>
      </c>
      <c r="T92" s="70"/>
      <c r="U92" s="66"/>
      <c r="V92" s="66"/>
      <c r="W92" s="66"/>
      <c r="X92" s="66"/>
      <c r="Y92" s="66"/>
      <c r="Z92" s="66"/>
      <c r="AA92" s="66"/>
      <c r="AB92" s="66"/>
    </row>
    <row r="93" spans="3:30" x14ac:dyDescent="0.25">
      <c r="E93" s="29"/>
      <c r="F93" t="s">
        <v>194</v>
      </c>
      <c r="G93" t="s">
        <v>166</v>
      </c>
      <c r="J93" s="70"/>
      <c r="K93" s="70"/>
      <c r="L93" s="70"/>
      <c r="M93" s="70"/>
      <c r="N93" s="70"/>
      <c r="O93" s="70"/>
      <c r="P93" s="252">
        <v>1</v>
      </c>
      <c r="Q93" s="252"/>
      <c r="R93" s="252"/>
      <c r="S93" s="252">
        <v>1</v>
      </c>
      <c r="T93" s="70"/>
      <c r="U93" s="66"/>
      <c r="V93" s="66"/>
      <c r="W93" s="66"/>
      <c r="X93" s="66"/>
      <c r="Y93" s="66"/>
      <c r="Z93" s="66"/>
      <c r="AA93" s="66"/>
      <c r="AB93" s="66"/>
    </row>
    <row r="94" spans="3:30" x14ac:dyDescent="0.25">
      <c r="E94" s="29"/>
      <c r="F94" t="s">
        <v>195</v>
      </c>
      <c r="G94" t="s">
        <v>166</v>
      </c>
      <c r="J94" s="70"/>
      <c r="K94" s="70"/>
      <c r="L94" s="70"/>
      <c r="M94" s="70"/>
      <c r="N94" s="70"/>
      <c r="O94" s="70"/>
      <c r="P94" s="70"/>
      <c r="Q94" s="70"/>
      <c r="R94" s="70"/>
      <c r="S94" s="70"/>
      <c r="T94" s="70"/>
      <c r="U94" s="66"/>
      <c r="V94" s="66"/>
      <c r="W94" s="66"/>
      <c r="X94" s="66"/>
      <c r="Y94" s="66"/>
      <c r="Z94" s="66"/>
      <c r="AA94" s="66"/>
      <c r="AB94" s="66"/>
    </row>
    <row r="95" spans="3:30" x14ac:dyDescent="0.25">
      <c r="E95" s="29"/>
      <c r="F95" t="s">
        <v>196</v>
      </c>
      <c r="G95" t="s">
        <v>166</v>
      </c>
      <c r="J95" s="70"/>
      <c r="K95" s="70"/>
      <c r="L95" s="70"/>
      <c r="M95" s="70"/>
      <c r="N95" s="252">
        <v>0.2</v>
      </c>
      <c r="O95" s="252">
        <v>1</v>
      </c>
      <c r="P95" s="252">
        <v>1</v>
      </c>
      <c r="Q95" s="252">
        <v>0.2</v>
      </c>
      <c r="R95" s="252">
        <v>1</v>
      </c>
      <c r="S95" s="252">
        <v>1</v>
      </c>
      <c r="T95" s="70"/>
      <c r="U95" s="66"/>
      <c r="V95" s="66"/>
      <c r="W95" s="66"/>
      <c r="X95" s="66"/>
      <c r="Y95" s="66"/>
      <c r="Z95" s="66"/>
      <c r="AA95" s="66"/>
      <c r="AB95" s="66"/>
    </row>
    <row r="96" spans="3:30" x14ac:dyDescent="0.25">
      <c r="E96" s="29"/>
      <c r="F96" t="s">
        <v>197</v>
      </c>
      <c r="G96" t="s">
        <v>166</v>
      </c>
      <c r="J96" s="70"/>
      <c r="K96" s="70"/>
      <c r="L96" s="70"/>
      <c r="M96" s="70"/>
      <c r="N96" s="252">
        <v>1</v>
      </c>
      <c r="O96" s="252">
        <v>1</v>
      </c>
      <c r="P96" s="70"/>
      <c r="Q96" s="252">
        <v>1</v>
      </c>
      <c r="R96" s="252">
        <v>1</v>
      </c>
      <c r="S96" s="70"/>
      <c r="T96" s="70"/>
      <c r="U96" s="66"/>
      <c r="V96" s="66"/>
      <c r="W96" s="66"/>
      <c r="X96" s="66"/>
      <c r="Y96" s="66"/>
      <c r="Z96" s="66"/>
      <c r="AA96" s="66"/>
      <c r="AB96" s="66"/>
    </row>
    <row r="97" spans="3:30" x14ac:dyDescent="0.25">
      <c r="E97" s="29"/>
      <c r="F97" s="37" t="s">
        <v>198</v>
      </c>
      <c r="G97" s="37" t="s">
        <v>166</v>
      </c>
      <c r="H97" s="37"/>
      <c r="I97" s="37"/>
      <c r="J97" s="253">
        <v>1</v>
      </c>
      <c r="K97" s="253">
        <v>1</v>
      </c>
      <c r="L97" s="253">
        <v>1</v>
      </c>
      <c r="M97" s="253">
        <v>1</v>
      </c>
      <c r="N97" s="253">
        <v>1</v>
      </c>
      <c r="O97" s="71"/>
      <c r="P97" s="71"/>
      <c r="Q97" s="253">
        <v>1</v>
      </c>
      <c r="R97" s="71"/>
      <c r="S97" s="71"/>
      <c r="T97" s="253">
        <v>0</v>
      </c>
      <c r="U97" s="68"/>
      <c r="V97" s="68"/>
      <c r="W97" s="68"/>
      <c r="X97" s="68"/>
      <c r="Y97" s="68"/>
      <c r="Z97" s="68"/>
      <c r="AA97" s="68"/>
      <c r="AB97" s="68"/>
    </row>
    <row r="99" spans="3:30" x14ac:dyDescent="0.25">
      <c r="C99" s="31" t="str">
        <f ca="1">INDEX('Version control'!$H$34:$H$57,MATCH($A$1,'Version control'!$F$34:$F$57,0),1)&amp;"-F: Flags"</f>
        <v>Input 101-F: Flags</v>
      </c>
      <c r="D99" s="31"/>
      <c r="E99" s="31"/>
      <c r="F99" s="31"/>
      <c r="G99" s="31"/>
      <c r="H99" s="31"/>
      <c r="I99" s="31"/>
      <c r="J99" s="31"/>
      <c r="K99" s="31"/>
      <c r="L99" s="31"/>
      <c r="M99" s="31"/>
      <c r="N99" s="31"/>
      <c r="O99" s="31"/>
      <c r="P99" s="31"/>
      <c r="Q99" s="31"/>
      <c r="R99" s="31"/>
      <c r="S99" s="31"/>
      <c r="T99" s="31"/>
      <c r="U99" s="31"/>
      <c r="V99" s="31"/>
      <c r="W99" s="31"/>
      <c r="X99" s="31"/>
      <c r="Y99" s="31"/>
      <c r="Z99" s="31"/>
      <c r="AA99" s="31"/>
      <c r="AB99" s="31"/>
      <c r="AC99" s="31"/>
      <c r="AD99" s="31"/>
    </row>
    <row r="101" spans="3:30" x14ac:dyDescent="0.25">
      <c r="D101" s="32" t="s">
        <v>203</v>
      </c>
      <c r="E101" s="32"/>
    </row>
    <row r="102" spans="3:30" x14ac:dyDescent="0.25">
      <c r="D102" s="29" t="s">
        <v>204</v>
      </c>
      <c r="E102" s="29"/>
    </row>
    <row r="103" spans="3:30" x14ac:dyDescent="0.25">
      <c r="D103" s="29" t="s">
        <v>205</v>
      </c>
      <c r="E103" s="29"/>
    </row>
    <row r="104" spans="3:30" x14ac:dyDescent="0.25">
      <c r="D104" s="29"/>
      <c r="E104" s="32" t="s">
        <v>206</v>
      </c>
    </row>
    <row r="105" spans="3:30" x14ac:dyDescent="0.25">
      <c r="D105" s="29"/>
      <c r="F105" s="28" t="s">
        <v>207</v>
      </c>
      <c r="G105" t="s">
        <v>208</v>
      </c>
      <c r="I105" t="s">
        <v>153</v>
      </c>
      <c r="J105" s="254" t="b">
        <v>0</v>
      </c>
      <c r="K105" s="254" t="b">
        <v>0</v>
      </c>
      <c r="L105" s="254" t="b">
        <v>0</v>
      </c>
      <c r="M105" s="254" t="b">
        <v>0</v>
      </c>
      <c r="N105" s="254" t="b">
        <v>0</v>
      </c>
      <c r="O105" s="254" t="b">
        <v>0</v>
      </c>
      <c r="P105" s="254" t="b">
        <v>0</v>
      </c>
      <c r="Q105" s="254" t="b">
        <v>0</v>
      </c>
      <c r="R105" s="254" t="b">
        <v>0</v>
      </c>
      <c r="S105" s="254" t="b">
        <v>0</v>
      </c>
      <c r="T105" s="254" t="b">
        <v>0</v>
      </c>
      <c r="U105" s="254" t="b">
        <v>1</v>
      </c>
      <c r="V105" s="254" t="b">
        <v>1</v>
      </c>
      <c r="W105" s="254" t="b">
        <v>1</v>
      </c>
      <c r="X105" s="254" t="b">
        <v>1</v>
      </c>
      <c r="Y105" s="254" t="b">
        <v>1</v>
      </c>
      <c r="Z105" s="254" t="b">
        <v>1</v>
      </c>
      <c r="AA105" s="254" t="b">
        <v>1</v>
      </c>
      <c r="AB105" s="254" t="b">
        <v>1</v>
      </c>
      <c r="AD105" t="s">
        <v>209</v>
      </c>
    </row>
    <row r="106" spans="3:30" x14ac:dyDescent="0.25">
      <c r="D106" s="29"/>
      <c r="E106" s="28"/>
      <c r="F106" s="28" t="s">
        <v>210</v>
      </c>
      <c r="G106" t="s">
        <v>166</v>
      </c>
      <c r="J106" s="70"/>
      <c r="K106" s="70"/>
      <c r="L106" s="70"/>
      <c r="M106" s="70"/>
      <c r="N106" s="70"/>
      <c r="O106" s="70"/>
      <c r="P106" s="70"/>
      <c r="Q106" s="70"/>
      <c r="R106" s="70"/>
      <c r="S106" s="70"/>
      <c r="T106" s="70"/>
      <c r="U106" s="255">
        <v>0</v>
      </c>
      <c r="V106" s="255">
        <v>0</v>
      </c>
      <c r="W106" s="255">
        <v>0</v>
      </c>
      <c r="X106" s="255">
        <v>0</v>
      </c>
      <c r="Y106" s="255">
        <v>0</v>
      </c>
      <c r="Z106" s="255">
        <v>0</v>
      </c>
      <c r="AA106" s="255">
        <v>0</v>
      </c>
      <c r="AB106" s="255">
        <v>0</v>
      </c>
    </row>
    <row r="107" spans="3:30" x14ac:dyDescent="0.25">
      <c r="D107" s="29"/>
      <c r="E107" s="28"/>
      <c r="F107" s="28"/>
      <c r="J107" s="14"/>
      <c r="K107" s="14"/>
      <c r="L107" s="14"/>
      <c r="M107" s="14"/>
      <c r="N107" s="14"/>
      <c r="O107" s="14"/>
      <c r="P107" s="14"/>
      <c r="Q107" s="14"/>
      <c r="R107" s="14"/>
      <c r="S107" s="14"/>
      <c r="T107" s="14"/>
      <c r="U107" s="14"/>
      <c r="V107" s="14"/>
      <c r="W107" s="14"/>
      <c r="X107" s="14"/>
      <c r="Y107" s="14"/>
      <c r="Z107" s="14"/>
      <c r="AA107" s="14"/>
      <c r="AB107" s="14"/>
    </row>
    <row r="108" spans="3:30" x14ac:dyDescent="0.25">
      <c r="D108" s="29"/>
      <c r="E108" s="32" t="s">
        <v>211</v>
      </c>
      <c r="F108" s="28"/>
      <c r="J108" s="14"/>
      <c r="K108" s="14"/>
      <c r="L108" s="14"/>
      <c r="M108" s="14"/>
      <c r="N108" s="14"/>
      <c r="O108" s="14"/>
      <c r="P108" s="14"/>
      <c r="Q108" s="14"/>
      <c r="R108" s="14"/>
      <c r="S108" s="14"/>
      <c r="T108" s="14"/>
      <c r="U108" s="14"/>
      <c r="V108" s="14"/>
      <c r="W108" s="14"/>
      <c r="X108" s="14"/>
      <c r="Y108" s="14"/>
      <c r="Z108" s="14"/>
      <c r="AA108" s="14"/>
      <c r="AB108" s="14"/>
    </row>
    <row r="109" spans="3:30" x14ac:dyDescent="0.25">
      <c r="D109" s="29"/>
      <c r="F109" s="28" t="s">
        <v>207</v>
      </c>
      <c r="G109" t="s">
        <v>208</v>
      </c>
      <c r="J109" s="254" t="b">
        <v>0</v>
      </c>
      <c r="K109" s="254" t="b">
        <v>0</v>
      </c>
      <c r="L109" s="254" t="b">
        <v>0</v>
      </c>
      <c r="M109" s="254" t="b">
        <v>0</v>
      </c>
      <c r="N109" s="254" t="b">
        <v>0</v>
      </c>
      <c r="O109" s="254" t="b">
        <v>0</v>
      </c>
      <c r="P109" s="254" t="b">
        <v>0</v>
      </c>
      <c r="Q109" s="254" t="b">
        <v>0</v>
      </c>
      <c r="R109" s="254" t="b">
        <v>0</v>
      </c>
      <c r="S109" s="254" t="b">
        <v>0</v>
      </c>
      <c r="T109" s="254" t="b">
        <v>0</v>
      </c>
      <c r="U109" s="254" t="b">
        <v>1</v>
      </c>
      <c r="V109" s="254" t="b">
        <v>1</v>
      </c>
      <c r="W109" s="254" t="b">
        <v>1</v>
      </c>
      <c r="X109" s="254" t="b">
        <v>1</v>
      </c>
      <c r="Y109" s="254" t="b">
        <v>1</v>
      </c>
      <c r="Z109" s="254" t="b">
        <v>1</v>
      </c>
      <c r="AA109" s="254" t="b">
        <v>1</v>
      </c>
      <c r="AB109" s="254" t="b">
        <v>1</v>
      </c>
    </row>
    <row r="110" spans="3:30" x14ac:dyDescent="0.25">
      <c r="D110" s="29"/>
      <c r="E110" s="28"/>
      <c r="F110" s="28" t="s">
        <v>210</v>
      </c>
      <c r="G110" t="s">
        <v>166</v>
      </c>
      <c r="J110" s="70"/>
      <c r="K110" s="70"/>
      <c r="L110" s="70"/>
      <c r="M110" s="70"/>
      <c r="N110" s="70"/>
      <c r="O110" s="70"/>
      <c r="P110" s="70"/>
      <c r="Q110" s="70"/>
      <c r="R110" s="70"/>
      <c r="S110" s="70"/>
      <c r="T110" s="70"/>
      <c r="U110" s="255">
        <v>1</v>
      </c>
      <c r="V110" s="255">
        <v>1</v>
      </c>
      <c r="W110" s="255">
        <v>1</v>
      </c>
      <c r="X110" s="255">
        <v>1</v>
      </c>
      <c r="Y110" s="255">
        <v>1</v>
      </c>
      <c r="Z110" s="255">
        <v>1</v>
      </c>
      <c r="AA110" s="255">
        <v>1</v>
      </c>
      <c r="AB110" s="255">
        <v>1</v>
      </c>
    </row>
    <row r="111" spans="3:30" x14ac:dyDescent="0.25">
      <c r="D111" s="29"/>
      <c r="E111" s="28"/>
      <c r="F111" s="28"/>
      <c r="J111" s="14"/>
      <c r="K111" s="14"/>
      <c r="L111" s="14"/>
      <c r="M111" s="14"/>
      <c r="N111" s="14"/>
      <c r="O111" s="14"/>
      <c r="P111" s="14"/>
      <c r="Q111" s="14"/>
      <c r="R111" s="14"/>
      <c r="S111" s="14"/>
      <c r="T111" s="14"/>
      <c r="U111" s="14"/>
      <c r="V111" s="14"/>
      <c r="W111" s="14"/>
      <c r="X111" s="14"/>
      <c r="Y111" s="14"/>
      <c r="Z111" s="14"/>
      <c r="AA111" s="14"/>
      <c r="AB111" s="14"/>
    </row>
    <row r="112" spans="3:30" x14ac:dyDescent="0.25">
      <c r="D112" s="29"/>
      <c r="E112" s="32" t="s">
        <v>212</v>
      </c>
      <c r="F112" s="28"/>
      <c r="J112" s="14"/>
      <c r="K112" s="14"/>
      <c r="L112" s="14"/>
      <c r="M112" s="14"/>
      <c r="N112" s="14"/>
      <c r="O112" s="14"/>
      <c r="P112" s="14"/>
      <c r="Q112" s="14"/>
      <c r="R112" s="14"/>
      <c r="S112" s="14"/>
      <c r="T112" s="14"/>
      <c r="U112" s="14"/>
      <c r="V112" s="14"/>
      <c r="W112" s="14"/>
      <c r="X112" s="14"/>
      <c r="Y112" s="14"/>
      <c r="Z112" s="14"/>
      <c r="AA112" s="14"/>
      <c r="AB112" s="14"/>
    </row>
    <row r="113" spans="4:28" x14ac:dyDescent="0.25">
      <c r="D113" s="29"/>
      <c r="F113" s="28" t="s">
        <v>207</v>
      </c>
      <c r="G113" t="s">
        <v>208</v>
      </c>
      <c r="J113" s="254" t="b">
        <v>0</v>
      </c>
      <c r="K113" s="254" t="b">
        <v>0</v>
      </c>
      <c r="L113" s="254" t="b">
        <v>0</v>
      </c>
      <c r="M113" s="254" t="b">
        <v>0</v>
      </c>
      <c r="N113" s="254" t="b">
        <v>0</v>
      </c>
      <c r="O113" s="254" t="b">
        <v>0</v>
      </c>
      <c r="P113" s="254" t="b">
        <v>0</v>
      </c>
      <c r="Q113" s="254" t="b">
        <v>0</v>
      </c>
      <c r="R113" s="254" t="b">
        <v>0</v>
      </c>
      <c r="S113" s="254" t="b">
        <v>0</v>
      </c>
      <c r="T113" s="254" t="b">
        <v>0</v>
      </c>
      <c r="U113" s="254" t="b">
        <v>1</v>
      </c>
      <c r="V113" s="254" t="b">
        <v>1</v>
      </c>
      <c r="W113" s="254" t="b">
        <v>1</v>
      </c>
      <c r="X113" s="254" t="b">
        <v>1</v>
      </c>
      <c r="Y113" s="254" t="b">
        <v>1</v>
      </c>
      <c r="Z113" s="254" t="b">
        <v>1</v>
      </c>
      <c r="AA113" s="254" t="b">
        <v>1</v>
      </c>
      <c r="AB113" s="254" t="b">
        <v>1</v>
      </c>
    </row>
    <row r="114" spans="4:28" x14ac:dyDescent="0.25">
      <c r="D114" s="29"/>
      <c r="E114" s="28"/>
      <c r="F114" s="28" t="s">
        <v>210</v>
      </c>
      <c r="G114" t="s">
        <v>166</v>
      </c>
      <c r="J114" s="70"/>
      <c r="K114" s="70"/>
      <c r="L114" s="70"/>
      <c r="M114" s="70"/>
      <c r="N114" s="70"/>
      <c r="O114" s="70"/>
      <c r="P114" s="70"/>
      <c r="Q114" s="70"/>
      <c r="R114" s="70"/>
      <c r="S114" s="70"/>
      <c r="T114" s="70"/>
      <c r="U114" s="255">
        <v>0</v>
      </c>
      <c r="V114" s="255">
        <v>0</v>
      </c>
      <c r="W114" s="255">
        <v>0</v>
      </c>
      <c r="X114" s="255">
        <v>0</v>
      </c>
      <c r="Y114" s="255">
        <v>0</v>
      </c>
      <c r="Z114" s="255">
        <v>0</v>
      </c>
      <c r="AA114" s="255">
        <v>0</v>
      </c>
      <c r="AB114" s="255">
        <v>0</v>
      </c>
    </row>
    <row r="115" spans="4:28" x14ac:dyDescent="0.25">
      <c r="D115" s="29"/>
      <c r="E115" s="28"/>
      <c r="F115" s="28"/>
      <c r="J115" s="14"/>
      <c r="K115" s="14"/>
      <c r="L115" s="14"/>
      <c r="M115" s="14"/>
      <c r="N115" s="14"/>
      <c r="O115" s="14"/>
      <c r="P115" s="14"/>
      <c r="Q115" s="14"/>
      <c r="R115" s="14"/>
      <c r="S115" s="14"/>
      <c r="T115" s="14"/>
      <c r="U115" s="14"/>
      <c r="V115" s="14"/>
      <c r="W115" s="14"/>
      <c r="X115" s="14"/>
      <c r="Y115" s="14"/>
      <c r="Z115" s="14"/>
      <c r="AA115" s="14"/>
      <c r="AB115" s="14"/>
    </row>
    <row r="116" spans="4:28" x14ac:dyDescent="0.25">
      <c r="D116" s="29"/>
      <c r="E116" s="32" t="s">
        <v>213</v>
      </c>
      <c r="F116" s="28"/>
      <c r="J116" s="14"/>
      <c r="K116" s="14"/>
      <c r="L116" s="14"/>
      <c r="M116" s="14"/>
      <c r="N116" s="14"/>
      <c r="O116" s="14"/>
      <c r="P116" s="14"/>
      <c r="Q116" s="14"/>
      <c r="R116" s="14"/>
      <c r="S116" s="14"/>
      <c r="T116" s="14"/>
      <c r="U116" s="14"/>
      <c r="V116" s="14"/>
      <c r="W116" s="14"/>
      <c r="X116" s="14"/>
      <c r="Y116" s="14"/>
      <c r="Z116" s="14"/>
      <c r="AA116" s="14"/>
      <c r="AB116" s="14"/>
    </row>
    <row r="117" spans="4:28" x14ac:dyDescent="0.25">
      <c r="D117" s="29"/>
      <c r="F117" s="28" t="s">
        <v>207</v>
      </c>
      <c r="G117" t="s">
        <v>208</v>
      </c>
      <c r="J117" s="254" t="b">
        <v>0</v>
      </c>
      <c r="K117" s="254" t="b">
        <v>0</v>
      </c>
      <c r="L117" s="254" t="b">
        <v>0</v>
      </c>
      <c r="M117" s="254" t="b">
        <v>0</v>
      </c>
      <c r="N117" s="254" t="b">
        <v>0</v>
      </c>
      <c r="O117" s="254" t="b">
        <v>0</v>
      </c>
      <c r="P117" s="254" t="b">
        <v>0</v>
      </c>
      <c r="Q117" s="254" t="b">
        <v>0</v>
      </c>
      <c r="R117" s="254" t="b">
        <v>0</v>
      </c>
      <c r="S117" s="254" t="b">
        <v>0</v>
      </c>
      <c r="T117" s="254" t="b">
        <v>0</v>
      </c>
      <c r="U117" s="254" t="b">
        <v>1</v>
      </c>
      <c r="V117" s="254" t="b">
        <v>1</v>
      </c>
      <c r="W117" s="254" t="b">
        <v>1</v>
      </c>
      <c r="X117" s="254" t="b">
        <v>1</v>
      </c>
      <c r="Y117" s="254" t="b">
        <v>1</v>
      </c>
      <c r="Z117" s="254" t="b">
        <v>1</v>
      </c>
      <c r="AA117" s="254" t="b">
        <v>1</v>
      </c>
      <c r="AB117" s="254" t="b">
        <v>1</v>
      </c>
    </row>
    <row r="118" spans="4:28" x14ac:dyDescent="0.25">
      <c r="D118" s="29"/>
      <c r="E118" s="28"/>
      <c r="F118" s="28" t="s">
        <v>210</v>
      </c>
      <c r="G118" t="s">
        <v>166</v>
      </c>
      <c r="J118" s="70"/>
      <c r="K118" s="70"/>
      <c r="L118" s="70"/>
      <c r="M118" s="70"/>
      <c r="N118" s="70"/>
      <c r="O118" s="70"/>
      <c r="P118" s="70"/>
      <c r="Q118" s="70"/>
      <c r="R118" s="70"/>
      <c r="S118" s="70"/>
      <c r="T118" s="70"/>
      <c r="U118" s="255">
        <v>0</v>
      </c>
      <c r="V118" s="255">
        <v>0</v>
      </c>
      <c r="W118" s="255">
        <v>0</v>
      </c>
      <c r="X118" s="255">
        <v>0</v>
      </c>
      <c r="Y118" s="255">
        <v>0</v>
      </c>
      <c r="Z118" s="255">
        <v>0</v>
      </c>
      <c r="AA118" s="255">
        <v>0</v>
      </c>
      <c r="AB118" s="255">
        <v>0</v>
      </c>
    </row>
    <row r="119" spans="4:28" x14ac:dyDescent="0.25">
      <c r="D119" s="29"/>
      <c r="E119" s="28"/>
      <c r="F119" s="28"/>
      <c r="J119" s="14"/>
      <c r="K119" s="14"/>
      <c r="L119" s="14"/>
      <c r="M119" s="14"/>
      <c r="N119" s="14"/>
      <c r="O119" s="14"/>
      <c r="P119" s="14"/>
      <c r="Q119" s="14"/>
      <c r="R119" s="14"/>
      <c r="S119" s="14"/>
      <c r="T119" s="14"/>
      <c r="U119" s="14"/>
      <c r="V119" s="14"/>
      <c r="W119" s="14"/>
      <c r="X119" s="14"/>
      <c r="Y119" s="14"/>
      <c r="Z119" s="14"/>
      <c r="AA119" s="14"/>
      <c r="AB119" s="14"/>
    </row>
    <row r="120" spans="4:28" x14ac:dyDescent="0.25">
      <c r="D120" s="29"/>
      <c r="E120" s="32" t="s">
        <v>214</v>
      </c>
      <c r="F120" s="28"/>
      <c r="J120" s="14"/>
      <c r="K120" s="14"/>
      <c r="L120" s="14"/>
      <c r="M120" s="14"/>
      <c r="N120" s="14"/>
      <c r="O120" s="14"/>
      <c r="P120" s="14"/>
      <c r="Q120" s="14"/>
      <c r="R120" s="14"/>
      <c r="S120" s="14"/>
      <c r="T120" s="14"/>
      <c r="U120" s="14"/>
      <c r="V120" s="14"/>
      <c r="W120" s="14"/>
      <c r="X120" s="14"/>
      <c r="Y120" s="14"/>
      <c r="Z120" s="14"/>
      <c r="AA120" s="14"/>
      <c r="AB120" s="14"/>
    </row>
    <row r="121" spans="4:28" x14ac:dyDescent="0.25">
      <c r="D121" s="29"/>
      <c r="F121" s="28" t="s">
        <v>207</v>
      </c>
      <c r="G121" t="s">
        <v>208</v>
      </c>
      <c r="J121" s="254" t="b">
        <v>0</v>
      </c>
      <c r="K121" s="254" t="b">
        <v>0</v>
      </c>
      <c r="L121" s="254" t="b">
        <v>0</v>
      </c>
      <c r="M121" s="254" t="b">
        <v>0</v>
      </c>
      <c r="N121" s="254" t="b">
        <v>0</v>
      </c>
      <c r="O121" s="254" t="b">
        <v>0</v>
      </c>
      <c r="P121" s="254" t="b">
        <v>0</v>
      </c>
      <c r="Q121" s="254" t="b">
        <v>0</v>
      </c>
      <c r="R121" s="254" t="b">
        <v>0</v>
      </c>
      <c r="S121" s="254" t="b">
        <v>0</v>
      </c>
      <c r="T121" s="254" t="b">
        <v>0</v>
      </c>
      <c r="U121" s="254" t="b">
        <v>1</v>
      </c>
      <c r="V121" s="254" t="b">
        <v>1</v>
      </c>
      <c r="W121" s="254" t="b">
        <v>1</v>
      </c>
      <c r="X121" s="254" t="b">
        <v>1</v>
      </c>
      <c r="Y121" s="254" t="b">
        <v>1</v>
      </c>
      <c r="Z121" s="254" t="b">
        <v>1</v>
      </c>
      <c r="AA121" s="254" t="b">
        <v>1</v>
      </c>
      <c r="AB121" s="254" t="b">
        <v>1</v>
      </c>
    </row>
    <row r="122" spans="4:28" x14ac:dyDescent="0.25">
      <c r="D122" s="29"/>
      <c r="E122" s="28"/>
      <c r="F122" s="28" t="s">
        <v>210</v>
      </c>
      <c r="G122" t="s">
        <v>166</v>
      </c>
      <c r="J122" s="70"/>
      <c r="K122" s="70"/>
      <c r="L122" s="70"/>
      <c r="M122" s="70"/>
      <c r="N122" s="70"/>
      <c r="O122" s="70"/>
      <c r="P122" s="70"/>
      <c r="Q122" s="70"/>
      <c r="R122" s="70"/>
      <c r="S122" s="70"/>
      <c r="T122" s="70"/>
      <c r="U122" s="255">
        <v>0</v>
      </c>
      <c r="V122" s="255">
        <v>0</v>
      </c>
      <c r="W122" s="255">
        <v>0</v>
      </c>
      <c r="X122" s="255">
        <v>0</v>
      </c>
      <c r="Y122" s="255">
        <v>0</v>
      </c>
      <c r="Z122" s="255">
        <v>0</v>
      </c>
      <c r="AA122" s="255">
        <v>0</v>
      </c>
      <c r="AB122" s="255">
        <v>0</v>
      </c>
    </row>
    <row r="123" spans="4:28" x14ac:dyDescent="0.25">
      <c r="D123" s="29"/>
      <c r="E123" s="29"/>
      <c r="J123" s="14"/>
      <c r="K123" s="14"/>
      <c r="L123" s="14"/>
      <c r="M123" s="14"/>
      <c r="N123" s="14"/>
      <c r="O123" s="14"/>
      <c r="P123" s="14"/>
      <c r="Q123" s="14"/>
      <c r="R123" s="14"/>
      <c r="S123" s="14"/>
      <c r="T123" s="14"/>
      <c r="U123" s="14"/>
      <c r="V123" s="14"/>
      <c r="W123" s="14"/>
      <c r="X123" s="14"/>
      <c r="Y123" s="14"/>
      <c r="Z123" s="14"/>
      <c r="AA123" s="14"/>
      <c r="AB123" s="14"/>
    </row>
    <row r="124" spans="4:28" x14ac:dyDescent="0.25">
      <c r="E124" s="32" t="s">
        <v>215</v>
      </c>
      <c r="J124" s="14"/>
      <c r="K124" s="14"/>
      <c r="L124" s="14"/>
      <c r="M124" s="14"/>
      <c r="N124" s="14"/>
      <c r="O124" s="14"/>
      <c r="P124" s="14"/>
      <c r="Q124" s="14"/>
      <c r="R124" s="14"/>
      <c r="S124" s="14"/>
      <c r="T124" s="14"/>
      <c r="U124" s="14"/>
      <c r="V124" s="14"/>
      <c r="W124" s="14"/>
      <c r="X124" s="14"/>
      <c r="Y124" s="14"/>
      <c r="Z124" s="14"/>
      <c r="AA124" s="14"/>
      <c r="AB124" s="14"/>
    </row>
    <row r="125" spans="4:28" x14ac:dyDescent="0.25">
      <c r="E125" s="29" t="s">
        <v>216</v>
      </c>
      <c r="J125" s="14"/>
      <c r="K125" s="14"/>
      <c r="L125" s="14"/>
      <c r="M125" s="14"/>
      <c r="N125" s="14"/>
      <c r="O125" s="14"/>
      <c r="P125" s="14"/>
      <c r="Q125" s="14"/>
      <c r="R125" s="14"/>
      <c r="S125" s="14"/>
      <c r="T125" s="14"/>
      <c r="U125" s="14"/>
      <c r="V125" s="14"/>
      <c r="W125" s="14"/>
      <c r="X125" s="14"/>
      <c r="Y125" s="14"/>
      <c r="Z125" s="14"/>
      <c r="AA125" s="14"/>
      <c r="AB125" s="14"/>
    </row>
    <row r="126" spans="4:28" x14ac:dyDescent="0.25">
      <c r="E126" s="29" t="s">
        <v>217</v>
      </c>
      <c r="J126" s="14"/>
      <c r="K126" s="14"/>
      <c r="L126" s="14"/>
      <c r="M126" s="14"/>
      <c r="N126" s="14"/>
      <c r="O126" s="14"/>
      <c r="P126" s="14"/>
      <c r="Q126" s="14"/>
      <c r="R126" s="14"/>
      <c r="S126" s="14"/>
      <c r="T126" s="14"/>
      <c r="U126" s="14"/>
      <c r="V126" s="14"/>
      <c r="W126" s="14"/>
      <c r="X126" s="14"/>
      <c r="Y126" s="14"/>
      <c r="Z126" s="14"/>
      <c r="AA126" s="14"/>
      <c r="AB126" s="14"/>
    </row>
    <row r="127" spans="4:28" x14ac:dyDescent="0.25">
      <c r="E127" s="29"/>
      <c r="F127" t="s">
        <v>215</v>
      </c>
      <c r="G127" t="s">
        <v>208</v>
      </c>
      <c r="J127" s="254" t="b">
        <v>0</v>
      </c>
      <c r="K127" s="254" t="b">
        <v>0</v>
      </c>
      <c r="L127" s="254" t="b">
        <v>0</v>
      </c>
      <c r="M127" s="254" t="b">
        <v>0</v>
      </c>
      <c r="N127" s="254" t="b">
        <v>0</v>
      </c>
      <c r="O127" s="254" t="b">
        <v>0</v>
      </c>
      <c r="P127" s="254" t="b">
        <v>0</v>
      </c>
      <c r="Q127" s="254" t="b">
        <v>0</v>
      </c>
      <c r="R127" s="254" t="b">
        <v>0</v>
      </c>
      <c r="S127" s="254" t="b">
        <v>0</v>
      </c>
      <c r="T127" s="254" t="b">
        <v>1</v>
      </c>
      <c r="U127" s="254" t="b">
        <v>0</v>
      </c>
      <c r="V127" s="254" t="b">
        <v>0</v>
      </c>
      <c r="W127" s="254" t="b">
        <v>0</v>
      </c>
      <c r="X127" s="254" t="b">
        <v>0</v>
      </c>
      <c r="Y127" s="254" t="b">
        <v>0</v>
      </c>
      <c r="Z127" s="254" t="b">
        <v>0</v>
      </c>
      <c r="AA127" s="254" t="b">
        <v>0</v>
      </c>
      <c r="AB127" s="254" t="b">
        <v>0</v>
      </c>
    </row>
    <row r="128" spans="4:28" x14ac:dyDescent="0.25">
      <c r="E128" s="29"/>
      <c r="J128" s="14"/>
      <c r="K128" s="14"/>
      <c r="L128" s="14"/>
      <c r="M128" s="14"/>
      <c r="N128" s="14"/>
      <c r="O128" s="14"/>
      <c r="P128" s="14"/>
      <c r="Q128" s="14"/>
      <c r="R128" s="14"/>
      <c r="S128" s="14"/>
      <c r="T128" s="14"/>
      <c r="U128" s="14"/>
      <c r="V128" s="14"/>
      <c r="W128" s="14"/>
      <c r="X128" s="14"/>
      <c r="Y128" s="14"/>
      <c r="Z128" s="14"/>
      <c r="AA128" s="14"/>
      <c r="AB128" s="14"/>
    </row>
    <row r="129" spans="3:30" x14ac:dyDescent="0.25">
      <c r="E129" s="32" t="s">
        <v>218</v>
      </c>
      <c r="J129" s="14"/>
      <c r="K129" s="14"/>
      <c r="L129" s="14"/>
      <c r="M129" s="14"/>
      <c r="N129" s="14"/>
      <c r="O129" s="14"/>
      <c r="P129" s="14"/>
      <c r="Q129" s="14"/>
      <c r="R129" s="14"/>
      <c r="S129" s="14"/>
      <c r="T129" s="14"/>
      <c r="U129" s="14"/>
      <c r="V129" s="14"/>
      <c r="W129" s="14"/>
      <c r="X129" s="14"/>
      <c r="Y129" s="14"/>
      <c r="Z129" s="14"/>
      <c r="AA129" s="14"/>
      <c r="AB129" s="14"/>
    </row>
    <row r="130" spans="3:30" x14ac:dyDescent="0.25">
      <c r="E130" s="29" t="s">
        <v>219</v>
      </c>
      <c r="J130" s="14"/>
      <c r="K130" s="14"/>
      <c r="L130" s="14"/>
      <c r="M130" s="14"/>
      <c r="N130" s="14"/>
      <c r="O130" s="14"/>
      <c r="P130" s="14"/>
      <c r="Q130" s="14"/>
      <c r="R130" s="14"/>
      <c r="S130" s="14"/>
      <c r="T130" s="14"/>
      <c r="U130" s="14"/>
      <c r="V130" s="14"/>
      <c r="W130" s="14"/>
      <c r="X130" s="14"/>
      <c r="Y130" s="14"/>
      <c r="Z130" s="14"/>
      <c r="AA130" s="14"/>
      <c r="AB130" s="14"/>
    </row>
    <row r="131" spans="3:30" x14ac:dyDescent="0.25">
      <c r="E131" s="29"/>
      <c r="F131" t="s">
        <v>220</v>
      </c>
      <c r="G131" t="s">
        <v>208</v>
      </c>
      <c r="J131" s="254" t="b">
        <v>1</v>
      </c>
      <c r="K131" s="254" t="b">
        <v>0</v>
      </c>
      <c r="L131" s="254" t="b">
        <v>1</v>
      </c>
      <c r="M131" s="254" t="b">
        <v>0</v>
      </c>
      <c r="N131" s="254" t="b">
        <v>1</v>
      </c>
      <c r="O131" s="254" t="b">
        <v>1</v>
      </c>
      <c r="P131" s="254" t="b">
        <v>1</v>
      </c>
      <c r="Q131" s="254" t="b">
        <v>1</v>
      </c>
      <c r="R131" s="254" t="b">
        <v>1</v>
      </c>
      <c r="S131" s="254" t="b">
        <v>1</v>
      </c>
      <c r="T131" s="254" t="b">
        <v>1</v>
      </c>
      <c r="U131" s="254" t="b">
        <v>1</v>
      </c>
      <c r="V131" s="254" t="b">
        <v>1</v>
      </c>
      <c r="W131" s="254" t="b">
        <v>1</v>
      </c>
      <c r="X131" s="254" t="b">
        <v>1</v>
      </c>
      <c r="Y131" s="254" t="b">
        <v>1</v>
      </c>
      <c r="Z131" s="254" t="b">
        <v>1</v>
      </c>
      <c r="AA131" s="254" t="b">
        <v>1</v>
      </c>
      <c r="AB131" s="254" t="b">
        <v>1</v>
      </c>
    </row>
    <row r="132" spans="3:30" x14ac:dyDescent="0.25">
      <c r="D132" s="29"/>
      <c r="J132" s="14"/>
      <c r="K132" s="14"/>
      <c r="L132" s="14"/>
      <c r="M132" s="14"/>
      <c r="N132" s="14"/>
      <c r="O132" s="14"/>
      <c r="P132" s="14"/>
      <c r="Q132" s="14"/>
      <c r="R132" s="14"/>
      <c r="S132" s="14"/>
      <c r="T132" s="14"/>
      <c r="U132" s="14"/>
      <c r="V132" s="14"/>
      <c r="W132" s="14"/>
      <c r="X132" s="14"/>
      <c r="Y132" s="14"/>
      <c r="Z132" s="14"/>
      <c r="AA132" s="14"/>
      <c r="AB132" s="14"/>
    </row>
    <row r="133" spans="3:30" x14ac:dyDescent="0.25">
      <c r="E133" s="32" t="s">
        <v>221</v>
      </c>
      <c r="I133" t="s">
        <v>153</v>
      </c>
      <c r="J133" s="14"/>
      <c r="K133" s="14"/>
      <c r="L133" s="14"/>
      <c r="M133" s="14"/>
      <c r="N133" s="14"/>
      <c r="O133" s="14"/>
      <c r="P133" s="14"/>
      <c r="Q133" s="14"/>
      <c r="R133" s="14"/>
      <c r="S133" s="14"/>
      <c r="T133" s="14"/>
      <c r="U133" s="14"/>
      <c r="V133" s="14"/>
      <c r="W133" s="14"/>
      <c r="X133" s="14"/>
      <c r="Y133" s="14"/>
      <c r="Z133" s="14"/>
      <c r="AA133" s="14"/>
      <c r="AB133" s="14"/>
      <c r="AD133" t="s">
        <v>222</v>
      </c>
    </row>
    <row r="134" spans="3:30" x14ac:dyDescent="0.25">
      <c r="E134" s="29" t="s">
        <v>223</v>
      </c>
      <c r="J134" s="14"/>
      <c r="K134" s="14"/>
      <c r="L134" s="14"/>
      <c r="M134" s="14"/>
      <c r="N134" s="14"/>
      <c r="O134" s="14"/>
      <c r="P134" s="14"/>
      <c r="Q134" s="14"/>
      <c r="R134" s="14"/>
      <c r="S134" s="14"/>
      <c r="T134" s="14"/>
      <c r="U134" s="14"/>
      <c r="V134" s="14"/>
      <c r="W134" s="14"/>
      <c r="X134" s="14"/>
      <c r="Y134" s="14"/>
      <c r="Z134" s="14"/>
      <c r="AA134" s="14"/>
      <c r="AB134" s="14"/>
    </row>
    <row r="135" spans="3:30" x14ac:dyDescent="0.25">
      <c r="E135" s="29" t="s">
        <v>224</v>
      </c>
      <c r="J135" s="14"/>
      <c r="K135" s="14"/>
      <c r="L135" s="14"/>
      <c r="M135" s="14"/>
      <c r="N135" s="14"/>
      <c r="O135" s="14"/>
      <c r="P135" s="14"/>
      <c r="Q135" s="14"/>
      <c r="R135" s="14"/>
      <c r="S135" s="14"/>
      <c r="T135" s="14"/>
      <c r="U135" s="14"/>
      <c r="V135" s="14"/>
      <c r="W135" s="14"/>
      <c r="X135" s="14"/>
      <c r="Y135" s="14"/>
      <c r="Z135" s="14"/>
      <c r="AA135" s="14"/>
      <c r="AB135" s="14"/>
    </row>
    <row r="136" spans="3:30" x14ac:dyDescent="0.25">
      <c r="E136" s="29"/>
      <c r="F136" t="s">
        <v>159</v>
      </c>
      <c r="G136" t="s">
        <v>175</v>
      </c>
      <c r="J136" s="254">
        <v>0</v>
      </c>
      <c r="K136" s="254">
        <v>0</v>
      </c>
      <c r="L136" s="254">
        <v>0</v>
      </c>
      <c r="M136" s="254">
        <v>0</v>
      </c>
      <c r="N136" s="254">
        <v>1</v>
      </c>
      <c r="O136" s="254">
        <v>1</v>
      </c>
      <c r="P136" s="254">
        <v>1</v>
      </c>
      <c r="Q136" s="254">
        <v>1</v>
      </c>
      <c r="R136" s="254">
        <v>1</v>
      </c>
      <c r="S136" s="254">
        <v>1</v>
      </c>
      <c r="T136" s="254">
        <v>0</v>
      </c>
      <c r="U136" s="254">
        <v>0</v>
      </c>
      <c r="V136" s="254">
        <v>0</v>
      </c>
      <c r="W136" s="254">
        <v>0</v>
      </c>
      <c r="X136" s="254">
        <v>0</v>
      </c>
      <c r="Y136" s="254">
        <v>0</v>
      </c>
      <c r="Z136" s="254">
        <v>0</v>
      </c>
      <c r="AA136" s="254">
        <v>0</v>
      </c>
      <c r="AB136" s="254">
        <v>0</v>
      </c>
    </row>
    <row r="137" spans="3:30" x14ac:dyDescent="0.25">
      <c r="E137" s="29"/>
      <c r="F137" t="s">
        <v>160</v>
      </c>
      <c r="G137" t="s">
        <v>175</v>
      </c>
      <c r="J137" s="254">
        <v>0</v>
      </c>
      <c r="K137" s="254">
        <v>0</v>
      </c>
      <c r="L137" s="254">
        <v>0</v>
      </c>
      <c r="M137" s="254">
        <v>0</v>
      </c>
      <c r="N137" s="254">
        <v>1</v>
      </c>
      <c r="O137" s="254">
        <v>1</v>
      </c>
      <c r="P137" s="254">
        <v>1</v>
      </c>
      <c r="Q137" s="254">
        <v>1</v>
      </c>
      <c r="R137" s="254">
        <v>1</v>
      </c>
      <c r="S137" s="254">
        <v>1</v>
      </c>
      <c r="T137" s="254">
        <v>0</v>
      </c>
      <c r="U137" s="254">
        <v>0</v>
      </c>
      <c r="V137" s="254">
        <v>0</v>
      </c>
      <c r="W137" s="254">
        <v>0</v>
      </c>
      <c r="X137" s="254">
        <v>0</v>
      </c>
      <c r="Y137" s="254">
        <v>0</v>
      </c>
      <c r="Z137" s="254">
        <v>0</v>
      </c>
      <c r="AA137" s="254">
        <v>0</v>
      </c>
      <c r="AB137" s="254">
        <v>0</v>
      </c>
    </row>
    <row r="138" spans="3:30" x14ac:dyDescent="0.25">
      <c r="E138" s="29"/>
      <c r="F138" t="s">
        <v>225</v>
      </c>
      <c r="G138" t="s">
        <v>175</v>
      </c>
      <c r="J138" s="254">
        <v>0</v>
      </c>
      <c r="K138" s="254">
        <v>0</v>
      </c>
      <c r="L138" s="254">
        <v>0</v>
      </c>
      <c r="M138" s="254">
        <v>0</v>
      </c>
      <c r="N138" s="254">
        <v>1</v>
      </c>
      <c r="O138" s="254">
        <v>1</v>
      </c>
      <c r="P138" s="254">
        <v>1</v>
      </c>
      <c r="Q138" s="254">
        <v>1</v>
      </c>
      <c r="R138" s="254">
        <v>1</v>
      </c>
      <c r="S138" s="254">
        <v>1</v>
      </c>
      <c r="T138" s="254">
        <v>0</v>
      </c>
      <c r="U138" s="254">
        <v>0</v>
      </c>
      <c r="V138" s="254">
        <v>0</v>
      </c>
      <c r="W138" s="254">
        <v>1</v>
      </c>
      <c r="X138" s="254">
        <v>0</v>
      </c>
      <c r="Y138" s="254">
        <v>1</v>
      </c>
      <c r="Z138" s="254">
        <v>0</v>
      </c>
      <c r="AA138" s="254">
        <v>1</v>
      </c>
      <c r="AB138" s="254">
        <v>0</v>
      </c>
    </row>
    <row r="139" spans="3:30" x14ac:dyDescent="0.25">
      <c r="E139" s="29"/>
      <c r="F139" t="s">
        <v>226</v>
      </c>
      <c r="G139" t="s">
        <v>175</v>
      </c>
      <c r="J139" s="254">
        <v>1</v>
      </c>
      <c r="K139" s="254">
        <v>0</v>
      </c>
      <c r="L139" s="254">
        <v>1</v>
      </c>
      <c r="M139" s="254">
        <v>0</v>
      </c>
      <c r="N139" s="254">
        <v>0</v>
      </c>
      <c r="O139" s="254">
        <v>0</v>
      </c>
      <c r="P139" s="254">
        <v>0</v>
      </c>
      <c r="Q139" s="254">
        <v>0</v>
      </c>
      <c r="R139" s="254">
        <v>0</v>
      </c>
      <c r="S139" s="254">
        <v>0</v>
      </c>
      <c r="T139" s="254">
        <v>0</v>
      </c>
      <c r="U139" s="254">
        <v>0</v>
      </c>
      <c r="V139" s="254">
        <v>0</v>
      </c>
      <c r="W139" s="254">
        <v>0</v>
      </c>
      <c r="X139" s="254">
        <v>0</v>
      </c>
      <c r="Y139" s="254">
        <v>0</v>
      </c>
      <c r="Z139" s="254">
        <v>0</v>
      </c>
      <c r="AA139" s="254">
        <v>0</v>
      </c>
      <c r="AB139" s="254">
        <v>0</v>
      </c>
    </row>
    <row r="140" spans="3:30" x14ac:dyDescent="0.25">
      <c r="D140" s="29"/>
      <c r="J140" s="14"/>
      <c r="K140" s="14"/>
      <c r="L140" s="14"/>
      <c r="M140" s="14"/>
      <c r="N140" s="14"/>
      <c r="O140" s="14"/>
      <c r="P140" s="14"/>
      <c r="Q140" s="14"/>
      <c r="R140" s="14"/>
      <c r="S140" s="14"/>
      <c r="T140" s="14"/>
      <c r="U140" s="14"/>
      <c r="V140" s="14"/>
      <c r="W140" s="14"/>
      <c r="X140" s="14"/>
      <c r="Y140" s="14"/>
      <c r="Z140" s="14"/>
      <c r="AA140" s="14"/>
      <c r="AB140" s="14"/>
    </row>
    <row r="141" spans="3:30" x14ac:dyDescent="0.25">
      <c r="C141" s="31" t="str">
        <f ca="1">INDEX('Version control'!$H$34:$H$57,MATCH($A$1,'Version control'!$F$34:$F$57,0),1)&amp;"-G: Identifiers for customer groupings"</f>
        <v>Input 101-G: Identifiers for customer groupings</v>
      </c>
      <c r="D141" s="31"/>
      <c r="E141" s="31"/>
      <c r="F141" s="31"/>
      <c r="G141" s="31"/>
      <c r="H141" s="31"/>
      <c r="I141" s="31"/>
      <c r="J141" s="31"/>
      <c r="K141" s="31"/>
      <c r="L141" s="31"/>
      <c r="M141" s="31"/>
      <c r="N141" s="31"/>
      <c r="O141" s="31"/>
      <c r="P141" s="31"/>
      <c r="Q141" s="31"/>
      <c r="R141" s="31"/>
      <c r="S141" s="31"/>
      <c r="T141" s="31"/>
      <c r="U141" s="31"/>
      <c r="V141" s="31"/>
      <c r="W141" s="31"/>
      <c r="X141" s="31"/>
      <c r="Y141" s="31"/>
      <c r="Z141" s="31"/>
      <c r="AA141" s="31"/>
      <c r="AB141" s="31"/>
      <c r="AC141" s="31"/>
      <c r="AD141" s="31"/>
    </row>
    <row r="143" spans="3:30" x14ac:dyDescent="0.25">
      <c r="E143" s="32" t="s">
        <v>227</v>
      </c>
      <c r="F143" s="32"/>
    </row>
    <row r="144" spans="3:30" x14ac:dyDescent="0.25">
      <c r="E144" s="29" t="s">
        <v>228</v>
      </c>
      <c r="F144" s="29"/>
      <c r="I144" t="s">
        <v>153</v>
      </c>
      <c r="AD144" t="s">
        <v>1022</v>
      </c>
    </row>
    <row r="145" spans="3:64" x14ac:dyDescent="0.25">
      <c r="E145" s="29"/>
      <c r="F145" s="28" t="s">
        <v>227</v>
      </c>
      <c r="G145" t="s">
        <v>148</v>
      </c>
      <c r="J145" s="246">
        <v>1</v>
      </c>
      <c r="K145" s="70"/>
      <c r="L145" s="246">
        <v>1</v>
      </c>
      <c r="M145" s="70"/>
      <c r="N145" s="70"/>
      <c r="O145" s="70"/>
      <c r="P145" s="70"/>
      <c r="Q145" s="70"/>
      <c r="R145" s="70"/>
      <c r="S145" s="70"/>
      <c r="T145" s="70"/>
      <c r="U145" s="70"/>
      <c r="V145" s="70"/>
      <c r="W145" s="70"/>
      <c r="X145" s="70"/>
      <c r="Y145" s="70"/>
      <c r="Z145" s="70"/>
      <c r="AA145" s="70"/>
      <c r="AB145" s="70"/>
    </row>
    <row r="146" spans="3:64" x14ac:dyDescent="0.25">
      <c r="E146" s="29"/>
      <c r="F146" s="29"/>
    </row>
    <row r="147" spans="3:64" x14ac:dyDescent="0.25">
      <c r="E147" s="32" t="s">
        <v>958</v>
      </c>
      <c r="F147" s="32"/>
      <c r="I147" t="s">
        <v>153</v>
      </c>
      <c r="AD147" t="s">
        <v>972</v>
      </c>
    </row>
    <row r="148" spans="3:64" x14ac:dyDescent="0.25">
      <c r="E148" s="29" t="s">
        <v>959</v>
      </c>
      <c r="F148" s="29"/>
    </row>
    <row r="149" spans="3:64" x14ac:dyDescent="0.25">
      <c r="E149" s="29"/>
      <c r="F149" s="28" t="s">
        <v>960</v>
      </c>
      <c r="G149" t="s">
        <v>148</v>
      </c>
      <c r="J149" s="246">
        <v>1</v>
      </c>
      <c r="K149" s="246">
        <v>1</v>
      </c>
      <c r="L149" s="246">
        <v>2</v>
      </c>
      <c r="M149" s="246">
        <v>2</v>
      </c>
      <c r="N149" s="246">
        <v>3</v>
      </c>
      <c r="O149" s="246">
        <v>4</v>
      </c>
      <c r="P149" s="246">
        <v>5</v>
      </c>
      <c r="Q149" s="246">
        <v>3</v>
      </c>
      <c r="R149" s="246">
        <v>4</v>
      </c>
      <c r="S149" s="246">
        <v>5</v>
      </c>
      <c r="T149" s="70"/>
      <c r="U149" s="70"/>
      <c r="V149" s="70"/>
      <c r="W149" s="70"/>
      <c r="X149" s="70"/>
      <c r="Y149" s="70"/>
      <c r="Z149" s="70"/>
      <c r="AA149" s="70"/>
      <c r="AB149" s="70"/>
    </row>
    <row r="150" spans="3:64" x14ac:dyDescent="0.25">
      <c r="E150" s="29"/>
      <c r="F150" s="29"/>
    </row>
    <row r="151" spans="3:64" x14ac:dyDescent="0.25">
      <c r="C151" s="31" t="str">
        <f ca="1">INDEX('Version control'!$H$34:$H$57,MATCH($A$1,'Version control'!$F$34:$F$57,0),1)&amp;"-H: Decimal places for error checks"</f>
        <v>Input 101-H: Decimal places for error checks</v>
      </c>
      <c r="D151" s="31"/>
      <c r="E151" s="31"/>
      <c r="F151" s="31"/>
      <c r="G151" s="31"/>
      <c r="H151" s="31"/>
      <c r="I151" s="31"/>
      <c r="J151" s="31"/>
      <c r="K151" s="31"/>
      <c r="L151" s="31"/>
      <c r="M151" s="31"/>
      <c r="N151" s="31"/>
      <c r="O151" s="31"/>
      <c r="P151" s="31"/>
      <c r="Q151" s="31"/>
      <c r="R151" s="31"/>
      <c r="S151" s="31"/>
      <c r="T151" s="31"/>
      <c r="U151" s="31"/>
      <c r="V151" s="31"/>
      <c r="W151" s="31"/>
      <c r="X151" s="31"/>
      <c r="Y151" s="31"/>
      <c r="Z151" s="31"/>
      <c r="AA151" s="31"/>
      <c r="AB151" s="31"/>
      <c r="AC151" s="31"/>
      <c r="AD151" s="31"/>
    </row>
    <row r="153" spans="3:64" x14ac:dyDescent="0.25">
      <c r="E153" t="s">
        <v>229</v>
      </c>
      <c r="G153" t="s">
        <v>148</v>
      </c>
      <c r="H153" s="246">
        <v>3</v>
      </c>
    </row>
    <row r="155" spans="3:64" x14ac:dyDescent="0.25">
      <c r="C155" s="31" t="str">
        <f ca="1">INDEX('Version control'!$H$34:$H$57,MATCH($A$1,'Version control'!$F$34:$F$57,0),1)&amp;"-I: Map of applicable MPANs"</f>
        <v>Input 101-I: Map of applicable MPANs</v>
      </c>
      <c r="D155" s="31"/>
      <c r="E155" s="31"/>
      <c r="F155" s="31"/>
      <c r="G155" s="31"/>
      <c r="H155" s="31"/>
      <c r="I155" s="31"/>
      <c r="J155" s="31"/>
      <c r="K155" s="31"/>
      <c r="L155" s="31"/>
      <c r="M155" s="31"/>
      <c r="N155" s="31"/>
      <c r="O155" s="31"/>
      <c r="P155" s="31"/>
      <c r="Q155" s="31"/>
      <c r="R155" s="31"/>
      <c r="S155" s="31"/>
      <c r="T155" s="31"/>
      <c r="U155" s="31"/>
      <c r="V155" s="31"/>
      <c r="W155" s="31"/>
      <c r="X155" s="31"/>
      <c r="Y155" s="31"/>
      <c r="Z155" s="31"/>
      <c r="AA155" s="31"/>
      <c r="AB155" s="31"/>
      <c r="AC155" s="31"/>
      <c r="AD155" s="31"/>
      <c r="AE155" s="31"/>
      <c r="AF155" s="31"/>
      <c r="AG155" s="31"/>
      <c r="AH155" s="31"/>
      <c r="AI155" s="31"/>
      <c r="AJ155" s="31"/>
      <c r="AK155" s="31"/>
      <c r="AL155" s="31"/>
      <c r="AM155" s="31"/>
      <c r="AN155" s="31"/>
      <c r="AO155" s="31"/>
      <c r="AP155" s="31"/>
      <c r="AQ155" s="31"/>
      <c r="AR155" s="31"/>
      <c r="AS155" s="31"/>
      <c r="AT155" s="31"/>
      <c r="AU155" s="31"/>
    </row>
    <row r="157" spans="3:64" x14ac:dyDescent="0.25">
      <c r="C157" s="88"/>
      <c r="D157" s="2"/>
      <c r="E157" s="32" t="s">
        <v>985</v>
      </c>
      <c r="I157" t="s">
        <v>153</v>
      </c>
      <c r="J157" s="89"/>
      <c r="K157" s="89"/>
      <c r="L157" s="89"/>
      <c r="M157" s="89"/>
      <c r="N157" s="89"/>
      <c r="O157" s="89"/>
      <c r="P157" s="89"/>
      <c r="Q157" s="89"/>
      <c r="R157" s="89"/>
      <c r="S157" s="89"/>
      <c r="T157" s="89"/>
      <c r="U157" s="89"/>
      <c r="V157" s="89"/>
      <c r="W157" s="89"/>
      <c r="X157" s="89"/>
      <c r="Y157" s="89"/>
      <c r="Z157" s="89"/>
      <c r="AA157" s="89"/>
      <c r="AB157" s="89"/>
      <c r="AC157" s="89"/>
      <c r="AD157" s="89" t="s">
        <v>1017</v>
      </c>
      <c r="AE157" s="89"/>
      <c r="AF157" s="89"/>
      <c r="AG157" s="89"/>
      <c r="AH157" s="89"/>
      <c r="AI157" s="89"/>
      <c r="AJ157" s="89"/>
      <c r="AK157" s="89"/>
      <c r="AL157" s="89"/>
      <c r="AM157" s="89"/>
      <c r="AN157" s="89"/>
      <c r="AO157" s="89"/>
      <c r="AP157" s="89"/>
      <c r="AQ157" s="89"/>
      <c r="AR157" s="89"/>
      <c r="AS157" s="89"/>
    </row>
    <row r="158" spans="3:64" x14ac:dyDescent="0.25">
      <c r="C158" s="88"/>
      <c r="D158" s="2"/>
      <c r="F158" s="23" t="s">
        <v>986</v>
      </c>
      <c r="G158" s="23" t="s">
        <v>175</v>
      </c>
      <c r="H158" s="23"/>
      <c r="I158" s="23"/>
      <c r="J158" s="338">
        <v>1</v>
      </c>
      <c r="K158" s="338">
        <v>0</v>
      </c>
      <c r="L158" s="338">
        <v>0</v>
      </c>
      <c r="M158" s="338">
        <v>0</v>
      </c>
      <c r="N158" s="338">
        <v>0</v>
      </c>
      <c r="O158" s="338">
        <v>0</v>
      </c>
      <c r="P158" s="338">
        <v>0</v>
      </c>
      <c r="Q158" s="338">
        <v>0</v>
      </c>
      <c r="R158" s="338">
        <v>0</v>
      </c>
      <c r="S158" s="338">
        <v>0</v>
      </c>
      <c r="T158" s="338">
        <v>0</v>
      </c>
      <c r="U158" s="338">
        <v>0</v>
      </c>
      <c r="V158" s="338">
        <v>0</v>
      </c>
      <c r="W158" s="338">
        <v>0</v>
      </c>
      <c r="X158" s="338">
        <v>0</v>
      </c>
      <c r="Y158" s="338">
        <v>0</v>
      </c>
      <c r="Z158" s="338">
        <v>0</v>
      </c>
      <c r="AA158" s="338">
        <v>0</v>
      </c>
      <c r="AB158" s="338">
        <v>0</v>
      </c>
      <c r="AC158" s="89"/>
      <c r="AD158" s="89"/>
      <c r="AE158" s="89"/>
      <c r="AF158" s="89"/>
      <c r="AG158" s="89"/>
      <c r="AH158" s="89"/>
      <c r="AI158" s="89"/>
      <c r="AJ158" s="89"/>
      <c r="AK158" s="89"/>
      <c r="AL158" s="89"/>
      <c r="AM158" s="89"/>
      <c r="AN158" s="89"/>
      <c r="AO158" s="89"/>
      <c r="AP158" s="89"/>
      <c r="AQ158" s="89"/>
      <c r="AR158" s="89"/>
      <c r="AS158" s="89"/>
    </row>
    <row r="159" spans="3:64" x14ac:dyDescent="0.25">
      <c r="C159" s="88"/>
      <c r="D159" s="2"/>
      <c r="F159" s="37" t="s">
        <v>987</v>
      </c>
      <c r="G159" s="37" t="s">
        <v>175</v>
      </c>
      <c r="H159" s="37"/>
      <c r="I159" s="37"/>
      <c r="J159" s="339">
        <v>1</v>
      </c>
      <c r="K159" s="339">
        <v>0</v>
      </c>
      <c r="L159" s="339">
        <v>1</v>
      </c>
      <c r="M159" s="339">
        <v>0</v>
      </c>
      <c r="N159" s="339">
        <v>1</v>
      </c>
      <c r="O159" s="339">
        <v>1</v>
      </c>
      <c r="P159" s="339">
        <v>1</v>
      </c>
      <c r="Q159" s="339">
        <v>1</v>
      </c>
      <c r="R159" s="339">
        <v>1</v>
      </c>
      <c r="S159" s="339">
        <v>1</v>
      </c>
      <c r="T159" s="339">
        <v>0</v>
      </c>
      <c r="U159" s="339">
        <v>0</v>
      </c>
      <c r="V159" s="339">
        <v>0</v>
      </c>
      <c r="W159" s="339">
        <v>0</v>
      </c>
      <c r="X159" s="339">
        <v>0</v>
      </c>
      <c r="Y159" s="339">
        <v>0</v>
      </c>
      <c r="Z159" s="339">
        <v>0</v>
      </c>
      <c r="AA159" s="339">
        <v>0</v>
      </c>
      <c r="AB159" s="339">
        <v>0</v>
      </c>
      <c r="AC159" s="89"/>
      <c r="AD159" s="89"/>
      <c r="AE159" s="89"/>
      <c r="AF159" s="89"/>
      <c r="AG159" s="89"/>
      <c r="AH159" s="89"/>
      <c r="AI159" s="89"/>
      <c r="AJ159" s="89"/>
      <c r="AK159" s="89"/>
      <c r="AL159" s="89"/>
      <c r="AM159" s="89"/>
      <c r="AN159" s="89"/>
      <c r="AO159" s="89"/>
      <c r="AP159" s="89"/>
      <c r="AQ159" s="89"/>
      <c r="AR159" s="89"/>
      <c r="AS159" s="89"/>
    </row>
    <row r="160" spans="3:64" x14ac:dyDescent="0.25">
      <c r="C160" s="88"/>
      <c r="D160" s="2"/>
      <c r="F160" s="323"/>
      <c r="G160" s="323"/>
      <c r="H160" s="323"/>
      <c r="I160" s="323"/>
      <c r="J160" s="323"/>
      <c r="K160" s="323"/>
      <c r="L160" s="323"/>
      <c r="M160" s="323"/>
      <c r="N160" s="323"/>
      <c r="O160" s="323"/>
      <c r="P160" s="323"/>
      <c r="Q160" s="323"/>
      <c r="R160" s="323"/>
      <c r="S160" s="323"/>
      <c r="T160" s="323"/>
      <c r="U160" s="323"/>
      <c r="V160" s="323"/>
      <c r="W160" s="323"/>
      <c r="X160" s="323"/>
      <c r="Y160" s="323"/>
      <c r="Z160" s="323"/>
      <c r="AA160" s="323"/>
      <c r="AB160" s="323"/>
      <c r="AC160" s="323"/>
      <c r="AD160" s="323"/>
      <c r="AE160" s="89"/>
      <c r="AF160" s="89"/>
      <c r="AG160" s="89"/>
      <c r="AH160" s="89"/>
      <c r="AI160" s="89"/>
      <c r="AJ160" s="89"/>
      <c r="AK160" s="89"/>
      <c r="AL160" s="89"/>
      <c r="AM160" s="89"/>
      <c r="AN160" s="89"/>
      <c r="AO160" s="89"/>
      <c r="AP160" s="89"/>
      <c r="AQ160" s="89"/>
      <c r="AR160" s="89"/>
      <c r="AS160" s="89"/>
      <c r="AT160" s="323"/>
      <c r="AU160" s="323"/>
      <c r="AV160" s="323"/>
      <c r="AW160" s="323"/>
      <c r="AX160" s="323"/>
      <c r="AY160" s="323"/>
      <c r="AZ160" s="323"/>
      <c r="BA160" s="323"/>
      <c r="BB160" s="323"/>
      <c r="BC160" s="323"/>
      <c r="BD160" s="323"/>
      <c r="BE160" s="323"/>
      <c r="BF160" s="323"/>
      <c r="BG160" s="323"/>
      <c r="BH160" s="323"/>
      <c r="BI160" s="323"/>
      <c r="BJ160" s="323"/>
      <c r="BK160" s="323"/>
      <c r="BL160" s="323"/>
    </row>
    <row r="161" spans="2:30" x14ac:dyDescent="0.25">
      <c r="B161" s="30" t="s">
        <v>230</v>
      </c>
      <c r="C161" s="30"/>
      <c r="D161" s="30"/>
      <c r="E161" s="30"/>
      <c r="F161" s="30"/>
      <c r="G161" s="30"/>
      <c r="H161" s="30"/>
      <c r="I161" s="30"/>
      <c r="J161" s="30"/>
      <c r="K161" s="30"/>
      <c r="L161" s="30"/>
      <c r="M161" s="30"/>
      <c r="N161" s="30"/>
      <c r="O161" s="30"/>
      <c r="P161" s="30"/>
      <c r="Q161" s="30"/>
      <c r="R161" s="30"/>
      <c r="S161" s="30"/>
      <c r="T161" s="30"/>
      <c r="U161" s="30"/>
      <c r="V161" s="30"/>
      <c r="W161" s="30"/>
      <c r="X161" s="30"/>
      <c r="Y161" s="30"/>
      <c r="Z161" s="30"/>
      <c r="AA161" s="30"/>
      <c r="AB161" s="30"/>
      <c r="AC161" s="30"/>
      <c r="AD161" s="30"/>
    </row>
    <row r="162" spans="2:30" x14ac:dyDescent="0.25">
      <c r="F162" s="3"/>
      <c r="G162" s="3"/>
      <c r="H162" s="3"/>
      <c r="I162" s="3"/>
    </row>
    <row r="163" spans="2:30" x14ac:dyDescent="0.25">
      <c r="E163" t="s">
        <v>231</v>
      </c>
      <c r="G163" s="6" t="s">
        <v>54</v>
      </c>
      <c r="H163" s="24">
        <f t="array" ref="H163">SUM(IF(ISERROR(H15:AB146), 1))</f>
        <v>0</v>
      </c>
      <c r="I163" s="3"/>
    </row>
    <row r="164" spans="2:30" x14ac:dyDescent="0.25">
      <c r="I164" s="3"/>
    </row>
    <row r="165" spans="2:30" x14ac:dyDescent="0.25">
      <c r="E165" s="32" t="s">
        <v>232</v>
      </c>
      <c r="I165" s="3"/>
    </row>
    <row r="166" spans="2:30" x14ac:dyDescent="0.25">
      <c r="F166" s="23" t="s">
        <v>233</v>
      </c>
      <c r="G166" s="73" t="s">
        <v>54</v>
      </c>
      <c r="H166" s="74">
        <f>SUM(J166:AB166)</f>
        <v>0</v>
      </c>
      <c r="I166" s="69"/>
      <c r="J166" s="74">
        <f t="shared" ref="J166:K166" si="0">IF( OR( AND(J105 = TRUE, NOT(ISBLANK(J106))), AND(J105 = FALSE, J106 = 0)), 0, 1)</f>
        <v>0</v>
      </c>
      <c r="K166" s="74">
        <f t="shared" si="0"/>
        <v>0</v>
      </c>
      <c r="L166" s="74">
        <f t="shared" ref="L166:M166" si="1">IF( OR( AND(L105 = TRUE, NOT(ISBLANK(L106))), AND(L105 = FALSE, L106 = 0)), 0, 1)</f>
        <v>0</v>
      </c>
      <c r="M166" s="74">
        <f t="shared" si="1"/>
        <v>0</v>
      </c>
      <c r="N166" s="74">
        <f t="shared" ref="N166:P166" si="2">IF( OR( AND(N105 = TRUE, NOT(ISBLANK(N106))), AND(N105 = FALSE, N106 = 0)), 0, 1)</f>
        <v>0</v>
      </c>
      <c r="O166" s="74">
        <f t="shared" si="2"/>
        <v>0</v>
      </c>
      <c r="P166" s="74">
        <f t="shared" si="2"/>
        <v>0</v>
      </c>
      <c r="Q166" s="74">
        <f t="shared" ref="Q166:S166" si="3">IF( OR( AND(Q105 = TRUE, NOT(ISBLANK(Q106))), AND(Q105 = FALSE, Q106 = 0)), 0, 1)</f>
        <v>0</v>
      </c>
      <c r="R166" s="74">
        <f t="shared" si="3"/>
        <v>0</v>
      </c>
      <c r="S166" s="74">
        <f t="shared" si="3"/>
        <v>0</v>
      </c>
      <c r="T166" s="74">
        <f t="shared" ref="T166:V166" si="4">IF( OR( AND(T105 = TRUE, NOT(ISBLANK(T106))), AND(T105 = FALSE, T106 = 0)), 0, 1)</f>
        <v>0</v>
      </c>
      <c r="U166" s="74">
        <f t="shared" si="4"/>
        <v>0</v>
      </c>
      <c r="V166" s="74">
        <f t="shared" si="4"/>
        <v>0</v>
      </c>
      <c r="W166" s="74">
        <f t="shared" ref="W166:X166" si="5">IF( OR( AND(W105 = TRUE, NOT(ISBLANK(W106))), AND(W105 = FALSE, W106 = 0)), 0, 1)</f>
        <v>0</v>
      </c>
      <c r="X166" s="74">
        <f t="shared" si="5"/>
        <v>0</v>
      </c>
      <c r="Y166" s="74">
        <f t="shared" ref="Y166:Z166" si="6">IF( OR( AND(Y105 = TRUE, NOT(ISBLANK(Y106))), AND(Y105 = FALSE, Y106 = 0)), 0, 1)</f>
        <v>0</v>
      </c>
      <c r="Z166" s="74">
        <f t="shared" si="6"/>
        <v>0</v>
      </c>
      <c r="AA166" s="74">
        <f t="shared" ref="AA166:AB166" si="7">IF( OR( AND(AA105 = TRUE, NOT(ISBLANK(AA106))), AND(AA105 = FALSE, AA106 = 0)), 0, 1)</f>
        <v>0</v>
      </c>
      <c r="AB166" s="74">
        <f t="shared" si="7"/>
        <v>0</v>
      </c>
    </row>
    <row r="167" spans="2:30" x14ac:dyDescent="0.25">
      <c r="F167" t="s">
        <v>234</v>
      </c>
      <c r="G167" s="6" t="s">
        <v>54</v>
      </c>
      <c r="H167" s="24">
        <f>SUM(J167:AB167)</f>
        <v>0</v>
      </c>
      <c r="I167" s="3"/>
      <c r="J167" s="24">
        <f t="shared" ref="J167:K167" si="8">IF( OR( AND(J109 = TRUE, NOT(ISBLANK(J110))), AND(J109 = FALSE, J110 = 0)), 0, 1)</f>
        <v>0</v>
      </c>
      <c r="K167" s="24">
        <f t="shared" si="8"/>
        <v>0</v>
      </c>
      <c r="L167" s="24">
        <f t="shared" ref="L167:M167" si="9">IF( OR( AND(L109 = TRUE, NOT(ISBLANK(L110))), AND(L109 = FALSE, L110 = 0)), 0, 1)</f>
        <v>0</v>
      </c>
      <c r="M167" s="24">
        <f t="shared" si="9"/>
        <v>0</v>
      </c>
      <c r="N167" s="24">
        <f t="shared" ref="N167:P167" si="10">IF( OR( AND(N109 = TRUE, NOT(ISBLANK(N110))), AND(N109 = FALSE, N110 = 0)), 0, 1)</f>
        <v>0</v>
      </c>
      <c r="O167" s="24">
        <f t="shared" si="10"/>
        <v>0</v>
      </c>
      <c r="P167" s="24">
        <f t="shared" si="10"/>
        <v>0</v>
      </c>
      <c r="Q167" s="24">
        <f t="shared" ref="Q167:S167" si="11">IF( OR( AND(Q109 = TRUE, NOT(ISBLANK(Q110))), AND(Q109 = FALSE, Q110 = 0)), 0, 1)</f>
        <v>0</v>
      </c>
      <c r="R167" s="24">
        <f t="shared" si="11"/>
        <v>0</v>
      </c>
      <c r="S167" s="24">
        <f t="shared" si="11"/>
        <v>0</v>
      </c>
      <c r="T167" s="24">
        <f t="shared" ref="T167:V167" si="12">IF( OR( AND(T109 = TRUE, NOT(ISBLANK(T110))), AND(T109 = FALSE, T110 = 0)), 0, 1)</f>
        <v>0</v>
      </c>
      <c r="U167" s="24">
        <f t="shared" si="12"/>
        <v>0</v>
      </c>
      <c r="V167" s="24">
        <f t="shared" si="12"/>
        <v>0</v>
      </c>
      <c r="W167" s="24">
        <f t="shared" ref="W167:X167" si="13">IF( OR( AND(W109 = TRUE, NOT(ISBLANK(W110))), AND(W109 = FALSE, W110 = 0)), 0, 1)</f>
        <v>0</v>
      </c>
      <c r="X167" s="24">
        <f t="shared" si="13"/>
        <v>0</v>
      </c>
      <c r="Y167" s="24">
        <f t="shared" ref="Y167:Z167" si="14">IF( OR( AND(Y109 = TRUE, NOT(ISBLANK(Y110))), AND(Y109 = FALSE, Y110 = 0)), 0, 1)</f>
        <v>0</v>
      </c>
      <c r="Z167" s="24">
        <f t="shared" si="14"/>
        <v>0</v>
      </c>
      <c r="AA167" s="24">
        <f t="shared" ref="AA167:AB167" si="15">IF( OR( AND(AA109 = TRUE, NOT(ISBLANK(AA110))), AND(AA109 = FALSE, AA110 = 0)), 0, 1)</f>
        <v>0</v>
      </c>
      <c r="AB167" s="24">
        <f t="shared" si="15"/>
        <v>0</v>
      </c>
    </row>
    <row r="168" spans="2:30" x14ac:dyDescent="0.25">
      <c r="F168" t="s">
        <v>235</v>
      </c>
      <c r="G168" s="6" t="s">
        <v>54</v>
      </c>
      <c r="H168" s="24">
        <f>SUM(J168:AB168)</f>
        <v>0</v>
      </c>
      <c r="I168" s="3"/>
      <c r="J168" s="24">
        <f t="shared" ref="J168:K168" si="16">IF( OR( AND(J113 = TRUE, NOT(ISBLANK(J114))), AND(J113 = FALSE, J114 = 0)), 0, 1)</f>
        <v>0</v>
      </c>
      <c r="K168" s="24">
        <f t="shared" si="16"/>
        <v>0</v>
      </c>
      <c r="L168" s="24">
        <f t="shared" ref="L168:M168" si="17">IF( OR( AND(L113 = TRUE, NOT(ISBLANK(L114))), AND(L113 = FALSE, L114 = 0)), 0, 1)</f>
        <v>0</v>
      </c>
      <c r="M168" s="24">
        <f t="shared" si="17"/>
        <v>0</v>
      </c>
      <c r="N168" s="24">
        <f t="shared" ref="N168:P168" si="18">IF( OR( AND(N113 = TRUE, NOT(ISBLANK(N114))), AND(N113 = FALSE, N114 = 0)), 0, 1)</f>
        <v>0</v>
      </c>
      <c r="O168" s="24">
        <f t="shared" si="18"/>
        <v>0</v>
      </c>
      <c r="P168" s="24">
        <f t="shared" si="18"/>
        <v>0</v>
      </c>
      <c r="Q168" s="24">
        <f t="shared" ref="Q168:S168" si="19">IF( OR( AND(Q113 = TRUE, NOT(ISBLANK(Q114))), AND(Q113 = FALSE, Q114 = 0)), 0, 1)</f>
        <v>0</v>
      </c>
      <c r="R168" s="24">
        <f t="shared" si="19"/>
        <v>0</v>
      </c>
      <c r="S168" s="24">
        <f t="shared" si="19"/>
        <v>0</v>
      </c>
      <c r="T168" s="24">
        <f t="shared" ref="T168:V168" si="20">IF( OR( AND(T113 = TRUE, NOT(ISBLANK(T114))), AND(T113 = FALSE, T114 = 0)), 0, 1)</f>
        <v>0</v>
      </c>
      <c r="U168" s="24">
        <f t="shared" si="20"/>
        <v>0</v>
      </c>
      <c r="V168" s="24">
        <f t="shared" si="20"/>
        <v>0</v>
      </c>
      <c r="W168" s="24">
        <f t="shared" ref="W168:X168" si="21">IF( OR( AND(W113 = TRUE, NOT(ISBLANK(W114))), AND(W113 = FALSE, W114 = 0)), 0, 1)</f>
        <v>0</v>
      </c>
      <c r="X168" s="24">
        <f t="shared" si="21"/>
        <v>0</v>
      </c>
      <c r="Y168" s="24">
        <f t="shared" ref="Y168:Z168" si="22">IF( OR( AND(Y113 = TRUE, NOT(ISBLANK(Y114))), AND(Y113 = FALSE, Y114 = 0)), 0, 1)</f>
        <v>0</v>
      </c>
      <c r="Z168" s="24">
        <f t="shared" si="22"/>
        <v>0</v>
      </c>
      <c r="AA168" s="24">
        <f t="shared" ref="AA168:AB168" si="23">IF( OR( AND(AA113 = TRUE, NOT(ISBLANK(AA114))), AND(AA113 = FALSE, AA114 = 0)), 0, 1)</f>
        <v>0</v>
      </c>
      <c r="AB168" s="24">
        <f t="shared" si="23"/>
        <v>0</v>
      </c>
    </row>
    <row r="169" spans="2:30" x14ac:dyDescent="0.25">
      <c r="F169" t="s">
        <v>236</v>
      </c>
      <c r="G169" s="6" t="s">
        <v>54</v>
      </c>
      <c r="H169" s="24">
        <f>SUM(J169:AB169)</f>
        <v>0</v>
      </c>
      <c r="I169" s="3"/>
      <c r="J169" s="24">
        <f t="shared" ref="J169:K169" si="24">IF( OR( AND(J117 = TRUE, NOT(ISBLANK(J118))), AND(J117 = FALSE, J118 = 0)), 0, 1)</f>
        <v>0</v>
      </c>
      <c r="K169" s="24">
        <f t="shared" si="24"/>
        <v>0</v>
      </c>
      <c r="L169" s="24">
        <f t="shared" ref="L169:M169" si="25">IF( OR( AND(L117 = TRUE, NOT(ISBLANK(L118))), AND(L117 = FALSE, L118 = 0)), 0, 1)</f>
        <v>0</v>
      </c>
      <c r="M169" s="24">
        <f t="shared" si="25"/>
        <v>0</v>
      </c>
      <c r="N169" s="24">
        <f t="shared" ref="N169:P169" si="26">IF( OR( AND(N117 = TRUE, NOT(ISBLANK(N118))), AND(N117 = FALSE, N118 = 0)), 0, 1)</f>
        <v>0</v>
      </c>
      <c r="O169" s="24">
        <f t="shared" si="26"/>
        <v>0</v>
      </c>
      <c r="P169" s="24">
        <f t="shared" si="26"/>
        <v>0</v>
      </c>
      <c r="Q169" s="24">
        <f t="shared" ref="Q169:S169" si="27">IF( OR( AND(Q117 = TRUE, NOT(ISBLANK(Q118))), AND(Q117 = FALSE, Q118 = 0)), 0, 1)</f>
        <v>0</v>
      </c>
      <c r="R169" s="24">
        <f t="shared" si="27"/>
        <v>0</v>
      </c>
      <c r="S169" s="24">
        <f t="shared" si="27"/>
        <v>0</v>
      </c>
      <c r="T169" s="24">
        <f t="shared" ref="T169:V169" si="28">IF( OR( AND(T117 = TRUE, NOT(ISBLANK(T118))), AND(T117 = FALSE, T118 = 0)), 0, 1)</f>
        <v>0</v>
      </c>
      <c r="U169" s="24">
        <f t="shared" si="28"/>
        <v>0</v>
      </c>
      <c r="V169" s="24">
        <f t="shared" si="28"/>
        <v>0</v>
      </c>
      <c r="W169" s="24">
        <f t="shared" ref="W169:X169" si="29">IF( OR( AND(W117 = TRUE, NOT(ISBLANK(W118))), AND(W117 = FALSE, W118 = 0)), 0, 1)</f>
        <v>0</v>
      </c>
      <c r="X169" s="24">
        <f t="shared" si="29"/>
        <v>0</v>
      </c>
      <c r="Y169" s="24">
        <f t="shared" ref="Y169:Z169" si="30">IF( OR( AND(Y117 = TRUE, NOT(ISBLANK(Y118))), AND(Y117 = FALSE, Y118 = 0)), 0, 1)</f>
        <v>0</v>
      </c>
      <c r="Z169" s="24">
        <f t="shared" si="30"/>
        <v>0</v>
      </c>
      <c r="AA169" s="24">
        <f t="shared" ref="AA169:AB169" si="31">IF( OR( AND(AA117 = TRUE, NOT(ISBLANK(AA118))), AND(AA117 = FALSE, AA118 = 0)), 0, 1)</f>
        <v>0</v>
      </c>
      <c r="AB169" s="24">
        <f t="shared" si="31"/>
        <v>0</v>
      </c>
    </row>
    <row r="170" spans="2:30" x14ac:dyDescent="0.25">
      <c r="F170" s="37" t="s">
        <v>237</v>
      </c>
      <c r="G170" s="50" t="s">
        <v>54</v>
      </c>
      <c r="H170" s="75">
        <f>SUM(J170:AB170)</f>
        <v>0</v>
      </c>
      <c r="I170" s="76"/>
      <c r="J170" s="75">
        <f t="shared" ref="J170:K170" si="32">IF( OR( AND(J121 = TRUE, NOT(ISBLANK(J122))), AND(J121 = FALSE, J122 = 0)), 0, 1)</f>
        <v>0</v>
      </c>
      <c r="K170" s="75">
        <f t="shared" si="32"/>
        <v>0</v>
      </c>
      <c r="L170" s="75">
        <f t="shared" ref="L170:M170" si="33">IF( OR( AND(L121 = TRUE, NOT(ISBLANK(L122))), AND(L121 = FALSE, L122 = 0)), 0, 1)</f>
        <v>0</v>
      </c>
      <c r="M170" s="75">
        <f t="shared" si="33"/>
        <v>0</v>
      </c>
      <c r="N170" s="75">
        <f t="shared" ref="N170:P170" si="34">IF( OR( AND(N121 = TRUE, NOT(ISBLANK(N122))), AND(N121 = FALSE, N122 = 0)), 0, 1)</f>
        <v>0</v>
      </c>
      <c r="O170" s="75">
        <f t="shared" si="34"/>
        <v>0</v>
      </c>
      <c r="P170" s="75">
        <f t="shared" si="34"/>
        <v>0</v>
      </c>
      <c r="Q170" s="75">
        <f t="shared" ref="Q170:S170" si="35">IF( OR( AND(Q121 = TRUE, NOT(ISBLANK(Q122))), AND(Q121 = FALSE, Q122 = 0)), 0, 1)</f>
        <v>0</v>
      </c>
      <c r="R170" s="75">
        <f t="shared" si="35"/>
        <v>0</v>
      </c>
      <c r="S170" s="75">
        <f t="shared" si="35"/>
        <v>0</v>
      </c>
      <c r="T170" s="75">
        <f t="shared" ref="T170:V170" si="36">IF( OR( AND(T121 = TRUE, NOT(ISBLANK(T122))), AND(T121 = FALSE, T122 = 0)), 0, 1)</f>
        <v>0</v>
      </c>
      <c r="U170" s="75">
        <f t="shared" si="36"/>
        <v>0</v>
      </c>
      <c r="V170" s="75">
        <f t="shared" si="36"/>
        <v>0</v>
      </c>
      <c r="W170" s="75">
        <f t="shared" ref="W170:X170" si="37">IF( OR( AND(W121 = TRUE, NOT(ISBLANK(W122))), AND(W121 = FALSE, W122 = 0)), 0, 1)</f>
        <v>0</v>
      </c>
      <c r="X170" s="75">
        <f t="shared" si="37"/>
        <v>0</v>
      </c>
      <c r="Y170" s="75">
        <f t="shared" ref="Y170:Z170" si="38">IF( OR( AND(Y121 = TRUE, NOT(ISBLANK(Y122))), AND(Y121 = FALSE, Y122 = 0)), 0, 1)</f>
        <v>0</v>
      </c>
      <c r="Z170" s="75">
        <f t="shared" si="38"/>
        <v>0</v>
      </c>
      <c r="AA170" s="75">
        <f t="shared" ref="AA170:AB170" si="39">IF( OR( AND(AA121 = TRUE, NOT(ISBLANK(AA122))), AND(AA121 = FALSE, AA122 = 0)), 0, 1)</f>
        <v>0</v>
      </c>
      <c r="AB170" s="75">
        <f t="shared" si="39"/>
        <v>0</v>
      </c>
    </row>
    <row r="171" spans="2:30" x14ac:dyDescent="0.25">
      <c r="F171" s="3"/>
      <c r="G171" s="3"/>
      <c r="H171" s="3"/>
      <c r="I171" s="3"/>
    </row>
    <row r="172" spans="2:30" x14ac:dyDescent="0.25">
      <c r="E172" t="s">
        <v>238</v>
      </c>
      <c r="G172" s="6" t="s">
        <v>54</v>
      </c>
      <c r="H172" s="26">
        <f>H163 + SUM(H166:H170)</f>
        <v>0</v>
      </c>
      <c r="I172" s="3"/>
    </row>
    <row r="173" spans="2:30" x14ac:dyDescent="0.25">
      <c r="I173" s="3"/>
    </row>
    <row r="174" spans="2:30" x14ac:dyDescent="0.25">
      <c r="B174" s="30" t="s">
        <v>105</v>
      </c>
      <c r="C174" s="30"/>
      <c r="D174" s="30"/>
      <c r="E174" s="30"/>
      <c r="F174" s="30"/>
      <c r="G174" s="30"/>
      <c r="H174" s="30"/>
      <c r="I174" s="30"/>
      <c r="J174" s="30"/>
      <c r="K174" s="30"/>
      <c r="L174" s="30"/>
      <c r="M174" s="30"/>
      <c r="N174" s="30"/>
      <c r="O174" s="30"/>
      <c r="P174" s="30"/>
      <c r="Q174" s="30"/>
      <c r="R174" s="30"/>
      <c r="S174" s="30"/>
      <c r="T174" s="30"/>
      <c r="U174" s="30"/>
      <c r="V174" s="30"/>
      <c r="W174" s="30"/>
      <c r="X174" s="30"/>
      <c r="Y174" s="30"/>
      <c r="Z174" s="30"/>
      <c r="AA174" s="30"/>
      <c r="AB174" s="30"/>
      <c r="AC174" s="30"/>
      <c r="AD174" s="30"/>
    </row>
    <row r="175" spans="2:30" x14ac:dyDescent="0.25">
      <c r="F175" s="3"/>
      <c r="G175" s="3"/>
      <c r="H175" s="3"/>
      <c r="I175" s="3"/>
    </row>
    <row r="176" spans="2:30" x14ac:dyDescent="0.25">
      <c r="F176" s="3"/>
      <c r="G176" s="3"/>
      <c r="H176" s="3"/>
      <c r="I176" s="3"/>
    </row>
  </sheetData>
  <sheetProtection sheet="1" objects="1" formatCells="0" formatColumns="0" formatRows="0" sort="0" autoFilter="0"/>
  <conditionalFormatting sqref="H163">
    <cfRule type="cellIs" dxfId="252" priority="31" operator="greaterThan">
      <formula>0</formula>
    </cfRule>
  </conditionalFormatting>
  <conditionalFormatting sqref="H166:H170">
    <cfRule type="cellIs" dxfId="251" priority="29" operator="greaterThan">
      <formula>0</formula>
    </cfRule>
  </conditionalFormatting>
  <conditionalFormatting sqref="H172">
    <cfRule type="cellIs" dxfId="250" priority="26" operator="greaterThan">
      <formula>0</formula>
    </cfRule>
  </conditionalFormatting>
  <conditionalFormatting sqref="A4:I4 AC4:XFD4">
    <cfRule type="expression" dxfId="249" priority="25">
      <formula>LEFT($A$4,1) &lt;&gt; "0"</formula>
    </cfRule>
  </conditionalFormatting>
  <conditionalFormatting sqref="N166:S170">
    <cfRule type="cellIs" dxfId="248" priority="23" operator="greaterThan">
      <formula>0</formula>
    </cfRule>
  </conditionalFormatting>
  <conditionalFormatting sqref="N4:S4">
    <cfRule type="expression" dxfId="247" priority="22">
      <formula>LEFT($A$4,1) &lt;&gt; "0"</formula>
    </cfRule>
  </conditionalFormatting>
  <conditionalFormatting sqref="L166:M170">
    <cfRule type="cellIs" dxfId="246" priority="20" operator="greaterThan">
      <formula>0</formula>
    </cfRule>
  </conditionalFormatting>
  <conditionalFormatting sqref="L4:M4">
    <cfRule type="expression" dxfId="245" priority="19">
      <formula>LEFT($A$4,1) &lt;&gt; "0"</formula>
    </cfRule>
  </conditionalFormatting>
  <conditionalFormatting sqref="J166:K170">
    <cfRule type="cellIs" dxfId="244" priority="17" operator="greaterThan">
      <formula>0</formula>
    </cfRule>
  </conditionalFormatting>
  <conditionalFormatting sqref="J4:K4">
    <cfRule type="expression" dxfId="243" priority="16">
      <formula>LEFT($A$4,1) &lt;&gt; "0"</formula>
    </cfRule>
  </conditionalFormatting>
  <conditionalFormatting sqref="T166:T170">
    <cfRule type="cellIs" dxfId="242" priority="14" operator="greaterThan">
      <formula>0</formula>
    </cfRule>
  </conditionalFormatting>
  <conditionalFormatting sqref="T4">
    <cfRule type="expression" dxfId="241" priority="13">
      <formula>LEFT($A$4,1) &lt;&gt; "0"</formula>
    </cfRule>
  </conditionalFormatting>
  <conditionalFormatting sqref="U166:V170">
    <cfRule type="cellIs" dxfId="240" priority="11" operator="greaterThan">
      <formula>0</formula>
    </cfRule>
  </conditionalFormatting>
  <conditionalFormatting sqref="U4:V4">
    <cfRule type="expression" dxfId="239" priority="10">
      <formula>LEFT($A$4,1) &lt;&gt; "0"</formula>
    </cfRule>
  </conditionalFormatting>
  <conditionalFormatting sqref="W166:X170">
    <cfRule type="cellIs" dxfId="238" priority="8" operator="greaterThan">
      <formula>0</formula>
    </cfRule>
  </conditionalFormatting>
  <conditionalFormatting sqref="W4:X4">
    <cfRule type="expression" dxfId="237" priority="7">
      <formula>LEFT($A$4,1) &lt;&gt; "0"</formula>
    </cfRule>
  </conditionalFormatting>
  <conditionalFormatting sqref="Y166:Z170">
    <cfRule type="cellIs" dxfId="236" priority="5" operator="greaterThan">
      <formula>0</formula>
    </cfRule>
  </conditionalFormatting>
  <conditionalFormatting sqref="Y4:Z4">
    <cfRule type="expression" dxfId="235" priority="4">
      <formula>LEFT($A$4,1) &lt;&gt; "0"</formula>
    </cfRule>
  </conditionalFormatting>
  <conditionalFormatting sqref="AA166:AB170">
    <cfRule type="cellIs" dxfId="234" priority="2" operator="greaterThan">
      <formula>0</formula>
    </cfRule>
  </conditionalFormatting>
  <conditionalFormatting sqref="AA4:AB4">
    <cfRule type="expression" dxfId="233" priority="1">
      <formula>LEFT($A$4,1) &lt;&gt; "0"</formula>
    </cfRule>
  </conditionalFormatting>
  <dataValidations count="10">
    <dataValidation type="whole" allowBlank="1" showInputMessage="1" showErrorMessage="1" sqref="H25:H31" xr:uid="{00000000-0002-0000-0500-000000000000}">
      <formula1>0</formula1>
      <formula2>3</formula2>
    </dataValidation>
    <dataValidation type="decimal" allowBlank="1" showInputMessage="1" showErrorMessage="1" sqref="H39 K145 M145:AB145 J88:AB97 J106:AB106 J110:AB110 J114:AB114 J118:AB118 J122:AB122 T149:AB149" xr:uid="{00000000-0002-0000-0500-000001000000}">
      <formula1>0</formula1>
      <formula2>1</formula2>
    </dataValidation>
    <dataValidation type="whole" allowBlank="1" showInputMessage="1" showErrorMessage="1" sqref="L145 J145 J149:S149" xr:uid="{00000000-0002-0000-0500-000002000000}">
      <formula1>0</formula1>
      <formula2>33</formula2>
    </dataValidation>
    <dataValidation type="decimal" allowBlank="1" showInputMessage="1" showErrorMessage="1" sqref="H35" xr:uid="{00000000-0002-0000-0500-000003000000}">
      <formula1>0</formula1>
      <formula2>999999</formula2>
    </dataValidation>
    <dataValidation type="decimal" allowBlank="1" showInputMessage="1" showErrorMessage="1" sqref="H37" xr:uid="{00000000-0002-0000-0500-000004000000}">
      <formula1>0.001</formula1>
      <formula2>1</formula2>
    </dataValidation>
    <dataValidation type="decimal" allowBlank="1" showInputMessage="1" showErrorMessage="1" sqref="H41" xr:uid="{00000000-0002-0000-0500-000005000000}">
      <formula1>0.001</formula1>
      <formula2>999999.999</formula2>
    </dataValidation>
    <dataValidation type="whole" allowBlank="1" showInputMessage="1" showErrorMessage="1" sqref="H15:H18" xr:uid="{00000000-0002-0000-0500-000006000000}">
      <formula1>0</formula1>
      <formula2>9999</formula2>
    </dataValidation>
    <dataValidation type="whole" allowBlank="1" showInputMessage="1" showErrorMessage="1" sqref="J53:AB56 J46:AB49" xr:uid="{00000000-0002-0000-0500-000007000000}">
      <formula1>0</formula1>
      <formula2>1</formula2>
    </dataValidation>
    <dataValidation type="whole" allowBlank="1" showInputMessage="1" showErrorMessage="1" sqref="J73:AB82 J60:AB69" xr:uid="{00000000-0002-0000-0500-000008000000}">
      <formula1>-1</formula1>
      <formula2>1</formula2>
    </dataValidation>
    <dataValidation type="list" allowBlank="1" showInputMessage="1" showErrorMessage="1" sqref="J131:AB131 J105:AB105 J109:AB109 J113:AB113 J117:AB117 J121:AB121 J127:AB127" xr:uid="{00000000-0002-0000-0500-000009000000}">
      <formula1>"TRUE, FALSE"</formula1>
    </dataValidation>
  </dataValidations>
  <hyperlinks>
    <hyperlink ref="B5:F5" location="'Model map'!A1" display="Click here to return to model map" xr:uid="{00000000-0004-0000-0500-000000000000}"/>
  </hyperlink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8">
    <tabColor theme="5" tint="0.59999389629810485"/>
    <pageSetUpPr fitToPage="1"/>
  </sheetPr>
  <dimension ref="A1:KK101"/>
  <sheetViews>
    <sheetView showGridLines="0" zoomScale="80" zoomScaleNormal="80" workbookViewId="0">
      <pane xSplit="9" ySplit="5" topLeftCell="J6" activePane="bottomRight" state="frozen"/>
      <selection pane="topRight"/>
      <selection pane="bottomLeft"/>
      <selection pane="bottomRight" activeCell="A30" sqref="A30"/>
    </sheetView>
  </sheetViews>
  <sheetFormatPr defaultColWidth="0" defaultRowHeight="15" x14ac:dyDescent="0.25"/>
  <cols>
    <col min="1" max="5" width="2.5703125" customWidth="1"/>
    <col min="6" max="6" width="59.5703125" customWidth="1"/>
    <col min="7" max="8" width="20.5703125" customWidth="1"/>
    <col min="9" max="9" width="2.42578125" customWidth="1"/>
    <col min="10" max="28" width="17" customWidth="1"/>
    <col min="29" max="29" width="2.42578125" customWidth="1"/>
    <col min="30" max="30" width="50.5703125" customWidth="1"/>
    <col min="31" max="31" width="2.42578125" customWidth="1"/>
    <col min="32" max="297" width="20.5703125" hidden="1" customWidth="1"/>
    <col min="298" max="16384" width="9.28515625" hidden="1"/>
  </cols>
  <sheetData>
    <row r="1" spans="1:30" s="1" customFormat="1" x14ac:dyDescent="0.25">
      <c r="A1" s="1" t="str">
        <f ca="1">MID(CELL("filename",A1),FIND("]",CELL("filename",A1))+1,255)</f>
        <v>Inputs by customer type</v>
      </c>
    </row>
    <row r="2" spans="1:30" s="1" customFormat="1" x14ac:dyDescent="0.25">
      <c r="A2" s="1" t="str">
        <f>Cover!D21&amp;" - "&amp;Cover!D23</f>
        <v>SP Distribution - Two</v>
      </c>
    </row>
    <row r="3" spans="1:30" s="5" customFormat="1" x14ac:dyDescent="0.25">
      <c r="A3" s="5" t="str">
        <f>Cover!D2&amp;" - "&amp;Cover!D8&amp;" v"&amp;Cover!D10&amp;" - "&amp;Cover!D19</f>
        <v>CDCM charging model - Release for charge setting v6 - 2021/22</v>
      </c>
    </row>
    <row r="4" spans="1:30" x14ac:dyDescent="0.25">
      <c r="A4" s="12" t="str">
        <f>H99 &amp; IF(H99 = 1, " issue", " issues") &amp;" identified in checks on this sheet"</f>
        <v>0 issues identified in checks on this sheet</v>
      </c>
      <c r="B4" s="13"/>
      <c r="C4" s="13"/>
      <c r="D4" s="13"/>
      <c r="E4" s="13"/>
      <c r="F4" s="13"/>
      <c r="G4" s="13"/>
      <c r="H4" s="14"/>
      <c r="I4" s="14"/>
    </row>
    <row r="5" spans="1:30" ht="60" x14ac:dyDescent="0.25">
      <c r="B5" s="59" t="s">
        <v>141</v>
      </c>
      <c r="C5" s="60"/>
      <c r="D5" s="60"/>
      <c r="E5" s="60"/>
      <c r="F5" s="60"/>
      <c r="G5" s="309" t="s">
        <v>142</v>
      </c>
      <c r="H5" s="310" t="s">
        <v>143</v>
      </c>
      <c r="I5" s="14"/>
      <c r="J5" s="310" t="s">
        <v>893</v>
      </c>
      <c r="K5" s="310" t="s">
        <v>895</v>
      </c>
      <c r="L5" s="310" t="s">
        <v>894</v>
      </c>
      <c r="M5" s="310" t="s">
        <v>896</v>
      </c>
      <c r="N5" s="310" t="s">
        <v>902</v>
      </c>
      <c r="O5" s="310" t="s">
        <v>903</v>
      </c>
      <c r="P5" s="310" t="s">
        <v>904</v>
      </c>
      <c r="Q5" s="310" t="s">
        <v>1027</v>
      </c>
      <c r="R5" s="310" t="s">
        <v>1028</v>
      </c>
      <c r="S5" s="310" t="s">
        <v>1029</v>
      </c>
      <c r="T5" s="310" t="s">
        <v>905</v>
      </c>
      <c r="U5" s="310" t="s">
        <v>897</v>
      </c>
      <c r="V5" s="310" t="s">
        <v>898</v>
      </c>
      <c r="W5" s="310" t="s">
        <v>899</v>
      </c>
      <c r="X5" s="310" t="s">
        <v>908</v>
      </c>
      <c r="Y5" s="310" t="s">
        <v>900</v>
      </c>
      <c r="Z5" s="310" t="s">
        <v>907</v>
      </c>
      <c r="AA5" s="310" t="s">
        <v>901</v>
      </c>
      <c r="AB5" s="310" t="s">
        <v>906</v>
      </c>
      <c r="AD5" s="61" t="s">
        <v>144</v>
      </c>
    </row>
    <row r="7" spans="1:30" x14ac:dyDescent="0.25">
      <c r="B7" s="30" t="s">
        <v>9</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row>
    <row r="9" spans="1:30" x14ac:dyDescent="0.25">
      <c r="C9" s="29" t="s">
        <v>239</v>
      </c>
    </row>
    <row r="11" spans="1:30" x14ac:dyDescent="0.25">
      <c r="B11" s="30" t="s">
        <v>55</v>
      </c>
      <c r="C11" s="30"/>
      <c r="D11" s="30"/>
      <c r="E11" s="30"/>
      <c r="F11" s="30"/>
      <c r="G11" s="30"/>
      <c r="H11" s="30"/>
      <c r="I11" s="30"/>
      <c r="J11" s="30"/>
      <c r="K11" s="30"/>
      <c r="L11" s="30"/>
      <c r="M11" s="30"/>
      <c r="N11" s="30"/>
      <c r="O11" s="30"/>
      <c r="P11" s="30"/>
      <c r="Q11" s="30"/>
      <c r="R11" s="30"/>
      <c r="S11" s="30"/>
      <c r="T11" s="30"/>
      <c r="U11" s="30"/>
      <c r="V11" s="30"/>
      <c r="W11" s="30"/>
      <c r="X11" s="30"/>
      <c r="Y11" s="30"/>
      <c r="Z11" s="30"/>
      <c r="AA11" s="30"/>
      <c r="AB11" s="30"/>
      <c r="AC11" s="30"/>
      <c r="AD11" s="30"/>
    </row>
    <row r="12" spans="1:30" x14ac:dyDescent="0.25">
      <c r="D12" s="28"/>
    </row>
    <row r="13" spans="1:30" x14ac:dyDescent="0.25">
      <c r="C13" s="31" t="str">
        <f ca="1">INDEX('Version control'!$H$34:$H$57,MATCH($A$1,'Version control'!$F$34:$F$57,0),1)&amp;"-A: Load characteristics"</f>
        <v>Input 102-A: Load characteristics</v>
      </c>
      <c r="D13" s="31"/>
      <c r="E13" s="31"/>
      <c r="F13" s="31"/>
      <c r="G13" s="31"/>
      <c r="H13" s="31"/>
      <c r="I13" s="31"/>
      <c r="J13" s="31"/>
      <c r="K13" s="31"/>
      <c r="L13" s="31"/>
      <c r="M13" s="31"/>
      <c r="N13" s="31"/>
      <c r="O13" s="31"/>
      <c r="P13" s="31"/>
      <c r="Q13" s="31"/>
      <c r="R13" s="31"/>
      <c r="S13" s="31"/>
      <c r="T13" s="31"/>
      <c r="U13" s="31"/>
      <c r="V13" s="31"/>
      <c r="W13" s="31"/>
      <c r="X13" s="31"/>
      <c r="Y13" s="31"/>
      <c r="Z13" s="31"/>
      <c r="AA13" s="31"/>
      <c r="AB13" s="31"/>
      <c r="AC13" s="31"/>
      <c r="AD13" s="31"/>
    </row>
    <row r="15" spans="1:30" x14ac:dyDescent="0.25">
      <c r="E15" s="28" t="s">
        <v>240</v>
      </c>
      <c r="G15" s="13" t="s">
        <v>166</v>
      </c>
      <c r="I15" t="s">
        <v>153</v>
      </c>
      <c r="J15" s="256">
        <v>0.44866666666666671</v>
      </c>
      <c r="K15" s="256">
        <v>9.9666666666666667E-2</v>
      </c>
      <c r="L15" s="256">
        <v>0.41666666666666669</v>
      </c>
      <c r="M15" s="256">
        <v>0.32</v>
      </c>
      <c r="N15" s="256">
        <v>0.55600000000000005</v>
      </c>
      <c r="O15" s="256">
        <v>0.67266666666666675</v>
      </c>
      <c r="P15" s="256">
        <v>0.73533333333333328</v>
      </c>
      <c r="Q15" s="256">
        <v>0.55600000000000005</v>
      </c>
      <c r="R15" s="256">
        <v>0.67266666666666675</v>
      </c>
      <c r="S15" s="256">
        <v>0.73533333333333328</v>
      </c>
      <c r="T15" s="256">
        <v>0.45833333333333331</v>
      </c>
      <c r="U15" s="70"/>
      <c r="V15" s="70"/>
      <c r="W15" s="70"/>
      <c r="X15" s="70"/>
      <c r="Y15" s="70"/>
      <c r="Z15" s="70"/>
      <c r="AA15" s="70"/>
      <c r="AB15" s="70"/>
      <c r="AD15" t="s">
        <v>241</v>
      </c>
    </row>
    <row r="16" spans="1:30" x14ac:dyDescent="0.25">
      <c r="E16" s="28" t="s">
        <v>242</v>
      </c>
      <c r="G16" s="13" t="s">
        <v>166</v>
      </c>
      <c r="I16" t="s">
        <v>153</v>
      </c>
      <c r="J16" s="256">
        <v>0.89866666666666661</v>
      </c>
      <c r="K16" s="70"/>
      <c r="L16" s="256">
        <v>0.66433333333333333</v>
      </c>
      <c r="M16" s="70"/>
      <c r="N16" s="256">
        <v>0.78366666666666662</v>
      </c>
      <c r="O16" s="256">
        <v>0.78533333333333333</v>
      </c>
      <c r="P16" s="256">
        <v>0.84533333333333338</v>
      </c>
      <c r="Q16" s="256">
        <v>0.78366666666666662</v>
      </c>
      <c r="R16" s="256">
        <v>0.78533333333333333</v>
      </c>
      <c r="S16" s="256">
        <v>0.84533333333333338</v>
      </c>
      <c r="T16" s="256">
        <v>0.92600000000000016</v>
      </c>
      <c r="U16" s="70"/>
      <c r="V16" s="70"/>
      <c r="W16" s="70"/>
      <c r="X16" s="70"/>
      <c r="Y16" s="70"/>
      <c r="Z16" s="70"/>
      <c r="AA16" s="70"/>
      <c r="AB16" s="70"/>
      <c r="AD16" t="s">
        <v>243</v>
      </c>
    </row>
    <row r="17" spans="3:30" x14ac:dyDescent="0.25">
      <c r="G17" s="13"/>
    </row>
    <row r="18" spans="3:30" x14ac:dyDescent="0.25">
      <c r="C18" s="31" t="str">
        <f ca="1">INDEX('Version control'!$H$34:$H$57,MATCH($A$1,'Version control'!$F$34:$F$57,0),1)&amp;"-B: Volume forecasts for the charging year"</f>
        <v>Input 102-B: Volume forecasts for the charging year</v>
      </c>
      <c r="D18" s="31"/>
      <c r="E18" s="31"/>
      <c r="F18" s="31"/>
      <c r="G18" s="31"/>
      <c r="H18" s="31"/>
      <c r="I18" s="31"/>
      <c r="J18" s="31"/>
      <c r="K18" s="31"/>
      <c r="L18" s="31"/>
      <c r="M18" s="31"/>
      <c r="N18" s="31"/>
      <c r="O18" s="31"/>
      <c r="P18" s="31"/>
      <c r="Q18" s="31"/>
      <c r="R18" s="31"/>
      <c r="S18" s="31"/>
      <c r="T18" s="31"/>
      <c r="U18" s="31"/>
      <c r="V18" s="31"/>
      <c r="W18" s="31"/>
      <c r="X18" s="31"/>
      <c r="Y18" s="31"/>
      <c r="Z18" s="31"/>
      <c r="AA18" s="31"/>
      <c r="AB18" s="31"/>
      <c r="AC18" s="31"/>
      <c r="AD18" s="31"/>
    </row>
    <row r="19" spans="3:30" x14ac:dyDescent="0.25">
      <c r="G19" s="13"/>
    </row>
    <row r="20" spans="3:30" x14ac:dyDescent="0.25">
      <c r="E20" s="32" t="s">
        <v>244</v>
      </c>
      <c r="G20" s="13"/>
      <c r="I20" t="s">
        <v>153</v>
      </c>
      <c r="AD20" t="s">
        <v>245</v>
      </c>
    </row>
    <row r="21" spans="3:30" x14ac:dyDescent="0.25">
      <c r="E21" s="32"/>
      <c r="F21" s="78" t="s">
        <v>246</v>
      </c>
      <c r="G21" s="78" t="s">
        <v>206</v>
      </c>
      <c r="H21" s="23"/>
      <c r="I21" s="23"/>
      <c r="J21" s="257">
        <v>728182.66484023235</v>
      </c>
      <c r="K21" s="257">
        <v>1325.9025558238502</v>
      </c>
      <c r="L21" s="257">
        <v>187782.12741331305</v>
      </c>
      <c r="M21" s="257">
        <v>4172.2410596369182</v>
      </c>
      <c r="N21" s="257">
        <v>275821.76887612289</v>
      </c>
      <c r="O21" s="257">
        <v>21569.598912405832</v>
      </c>
      <c r="P21" s="257">
        <v>322473.77411167003</v>
      </c>
      <c r="Q21" s="257">
        <v>0</v>
      </c>
      <c r="R21" s="257">
        <v>0</v>
      </c>
      <c r="S21" s="257">
        <v>0</v>
      </c>
      <c r="T21" s="257">
        <v>13844.286088792498</v>
      </c>
      <c r="U21" s="257">
        <v>139.21456342227521</v>
      </c>
      <c r="V21" s="257">
        <v>2.8776284544589532</v>
      </c>
      <c r="W21" s="257">
        <v>6131.3814104814819</v>
      </c>
      <c r="X21" s="257">
        <v>0</v>
      </c>
      <c r="Y21" s="257">
        <v>144.6141525623608</v>
      </c>
      <c r="Z21" s="257">
        <v>0</v>
      </c>
      <c r="AA21" s="257">
        <v>116075.81817719914</v>
      </c>
      <c r="AB21" s="257">
        <v>0</v>
      </c>
    </row>
    <row r="22" spans="3:30" x14ac:dyDescent="0.25">
      <c r="E22" s="32"/>
      <c r="F22" s="72" t="s">
        <v>247</v>
      </c>
      <c r="G22" s="72" t="s">
        <v>206</v>
      </c>
      <c r="J22" s="345">
        <v>2586978.352218715</v>
      </c>
      <c r="K22" s="345">
        <v>24004.867020018988</v>
      </c>
      <c r="L22" s="345">
        <v>1017175.5544889377</v>
      </c>
      <c r="M22" s="345">
        <v>25319.415482001521</v>
      </c>
      <c r="N22" s="345">
        <v>1322296.4326402938</v>
      </c>
      <c r="O22" s="345">
        <v>101185.04898982702</v>
      </c>
      <c r="P22" s="345">
        <v>1497042.8901385467</v>
      </c>
      <c r="Q22" s="258">
        <v>0</v>
      </c>
      <c r="R22" s="258">
        <v>0</v>
      </c>
      <c r="S22" s="258">
        <v>0</v>
      </c>
      <c r="T22" s="345">
        <v>52546.80809158679</v>
      </c>
      <c r="U22" s="345">
        <v>625.58915267962095</v>
      </c>
      <c r="V22" s="345">
        <v>11.85801478940583</v>
      </c>
      <c r="W22" s="345">
        <v>27525.456251959484</v>
      </c>
      <c r="X22" s="345">
        <v>0</v>
      </c>
      <c r="Y22" s="345">
        <v>597.34783091345412</v>
      </c>
      <c r="Z22" s="345">
        <v>0</v>
      </c>
      <c r="AA22" s="345">
        <v>445212.43930388504</v>
      </c>
      <c r="AB22" s="345">
        <v>0</v>
      </c>
    </row>
    <row r="23" spans="3:30" x14ac:dyDescent="0.25">
      <c r="E23" s="32"/>
      <c r="F23" s="72" t="s">
        <v>248</v>
      </c>
      <c r="G23" s="72" t="s">
        <v>206</v>
      </c>
      <c r="J23" s="345">
        <v>2382458.5766185289</v>
      </c>
      <c r="K23" s="345">
        <v>245208.33115400965</v>
      </c>
      <c r="L23" s="345">
        <v>982488.05164342187</v>
      </c>
      <c r="M23" s="345">
        <v>52561.158034119573</v>
      </c>
      <c r="N23" s="345">
        <v>1154944.2406044872</v>
      </c>
      <c r="O23" s="345">
        <v>100898.01610776718</v>
      </c>
      <c r="P23" s="345">
        <v>1602377.0319897835</v>
      </c>
      <c r="Q23" s="258">
        <v>0</v>
      </c>
      <c r="R23" s="258">
        <v>0</v>
      </c>
      <c r="S23" s="258">
        <v>0</v>
      </c>
      <c r="T23" s="345">
        <v>189052.68521962134</v>
      </c>
      <c r="U23" s="345">
        <v>698.17114006254928</v>
      </c>
      <c r="V23" s="345">
        <v>16.006356756135215</v>
      </c>
      <c r="W23" s="345">
        <v>30981.276337559029</v>
      </c>
      <c r="X23" s="345">
        <v>0</v>
      </c>
      <c r="Y23" s="345">
        <v>807.27901652418518</v>
      </c>
      <c r="Z23" s="345">
        <v>0</v>
      </c>
      <c r="AA23" s="345">
        <v>507559.16751891578</v>
      </c>
      <c r="AB23" s="345">
        <v>0</v>
      </c>
    </row>
    <row r="24" spans="3:30" x14ac:dyDescent="0.25">
      <c r="E24" s="32"/>
      <c r="F24" s="72" t="s">
        <v>211</v>
      </c>
      <c r="G24" s="72" t="s">
        <v>211</v>
      </c>
      <c r="J24" s="345">
        <v>1852569</v>
      </c>
      <c r="K24" s="345">
        <v>100059</v>
      </c>
      <c r="L24" s="345">
        <v>125030</v>
      </c>
      <c r="M24" s="345">
        <v>7441</v>
      </c>
      <c r="N24" s="345">
        <v>10491</v>
      </c>
      <c r="O24" s="345">
        <v>219</v>
      </c>
      <c r="P24" s="345">
        <v>1257</v>
      </c>
      <c r="Q24" s="258">
        <v>0</v>
      </c>
      <c r="R24" s="258">
        <v>0</v>
      </c>
      <c r="S24" s="258">
        <v>0</v>
      </c>
      <c r="T24" s="345">
        <v>4868</v>
      </c>
      <c r="U24" s="345">
        <v>167</v>
      </c>
      <c r="V24" s="345">
        <v>4</v>
      </c>
      <c r="W24" s="345">
        <v>472</v>
      </c>
      <c r="X24" s="345">
        <v>0</v>
      </c>
      <c r="Y24" s="345">
        <v>8</v>
      </c>
      <c r="Z24" s="345">
        <v>0</v>
      </c>
      <c r="AA24" s="345">
        <v>255</v>
      </c>
      <c r="AB24" s="345">
        <v>0</v>
      </c>
    </row>
    <row r="25" spans="3:30" x14ac:dyDescent="0.25">
      <c r="E25" s="32"/>
      <c r="F25" s="72" t="s">
        <v>249</v>
      </c>
      <c r="G25" s="72" t="s">
        <v>250</v>
      </c>
      <c r="J25" s="79"/>
      <c r="K25" s="79"/>
      <c r="L25" s="79"/>
      <c r="M25" s="79"/>
      <c r="N25" s="345">
        <v>1465414</v>
      </c>
      <c r="O25" s="345">
        <v>92670</v>
      </c>
      <c r="P25" s="345">
        <v>1282859</v>
      </c>
      <c r="Q25" s="258">
        <v>0</v>
      </c>
      <c r="R25" s="258">
        <v>0</v>
      </c>
      <c r="S25" s="258">
        <v>0</v>
      </c>
      <c r="T25" s="79"/>
      <c r="U25" s="79"/>
      <c r="V25" s="79"/>
      <c r="W25" s="79"/>
      <c r="X25" s="79"/>
      <c r="Y25" s="79"/>
      <c r="Z25" s="79"/>
      <c r="AA25" s="79"/>
      <c r="AB25" s="79"/>
    </row>
    <row r="26" spans="3:30" x14ac:dyDescent="0.25">
      <c r="E26" s="32"/>
      <c r="F26" s="72" t="s">
        <v>251</v>
      </c>
      <c r="G26" s="72" t="s">
        <v>250</v>
      </c>
      <c r="J26" s="79"/>
      <c r="K26" s="79"/>
      <c r="L26" s="79"/>
      <c r="M26" s="79"/>
      <c r="N26" s="345">
        <v>29539.140000000003</v>
      </c>
      <c r="O26" s="345">
        <v>1042.17</v>
      </c>
      <c r="P26" s="345">
        <v>16267.89</v>
      </c>
      <c r="Q26" s="258">
        <v>0</v>
      </c>
      <c r="R26" s="258">
        <v>0</v>
      </c>
      <c r="S26" s="258">
        <v>0</v>
      </c>
      <c r="T26" s="79"/>
      <c r="U26" s="79"/>
      <c r="V26" s="79"/>
      <c r="W26" s="79"/>
      <c r="X26" s="79"/>
      <c r="Y26" s="79"/>
      <c r="Z26" s="79"/>
      <c r="AA26" s="79"/>
      <c r="AB26" s="79"/>
    </row>
    <row r="27" spans="3:30" x14ac:dyDescent="0.25">
      <c r="E27" s="32"/>
      <c r="F27" s="80" t="s">
        <v>252</v>
      </c>
      <c r="G27" s="80" t="s">
        <v>253</v>
      </c>
      <c r="H27" s="37"/>
      <c r="I27" s="37"/>
      <c r="J27" s="81"/>
      <c r="K27" s="81"/>
      <c r="L27" s="81"/>
      <c r="M27" s="81"/>
      <c r="N27" s="259">
        <v>241920</v>
      </c>
      <c r="O27" s="259">
        <v>19020</v>
      </c>
      <c r="P27" s="259">
        <v>250200</v>
      </c>
      <c r="Q27" s="259">
        <v>0</v>
      </c>
      <c r="R27" s="259">
        <v>0</v>
      </c>
      <c r="S27" s="259">
        <v>0</v>
      </c>
      <c r="T27" s="81"/>
      <c r="U27" s="81"/>
      <c r="V27" s="81"/>
      <c r="W27" s="259">
        <v>4452</v>
      </c>
      <c r="X27" s="81"/>
      <c r="Y27" s="259">
        <v>408</v>
      </c>
      <c r="Z27" s="81"/>
      <c r="AA27" s="259">
        <v>16464</v>
      </c>
      <c r="AB27" s="81"/>
    </row>
    <row r="28" spans="3:30" s="263" customFormat="1" x14ac:dyDescent="0.25">
      <c r="E28" s="264"/>
      <c r="F28" s="239"/>
      <c r="G28" s="239"/>
      <c r="J28" s="265"/>
      <c r="K28" s="265"/>
      <c r="L28" s="265"/>
      <c r="M28" s="265"/>
      <c r="N28" s="266"/>
      <c r="O28" s="266"/>
      <c r="P28" s="266"/>
      <c r="Q28" s="266"/>
      <c r="R28" s="266"/>
      <c r="S28" s="266"/>
      <c r="T28" s="265"/>
      <c r="U28" s="265"/>
      <c r="V28" s="265"/>
      <c r="W28" s="266"/>
      <c r="X28" s="265"/>
      <c r="Y28" s="266"/>
      <c r="Z28" s="265"/>
      <c r="AA28" s="266"/>
      <c r="AB28" s="265"/>
    </row>
    <row r="29" spans="3:30" x14ac:dyDescent="0.25">
      <c r="E29" s="32" t="s">
        <v>254</v>
      </c>
      <c r="G29" s="80"/>
      <c r="H29" s="37"/>
      <c r="I29" t="s">
        <v>153</v>
      </c>
      <c r="J29" s="82"/>
      <c r="K29" s="82"/>
      <c r="L29" s="82"/>
      <c r="M29" s="82"/>
      <c r="N29" s="82"/>
      <c r="O29" s="82"/>
      <c r="P29" s="82"/>
      <c r="Q29" s="82"/>
      <c r="R29" s="82"/>
      <c r="S29" s="82"/>
      <c r="T29" s="82"/>
      <c r="U29" s="82"/>
      <c r="V29" s="82"/>
      <c r="W29" s="82"/>
      <c r="X29" s="82"/>
      <c r="Y29" s="82"/>
      <c r="Z29" s="82"/>
      <c r="AA29" s="82"/>
      <c r="AB29" s="82"/>
      <c r="AD29" t="s">
        <v>245</v>
      </c>
    </row>
    <row r="30" spans="3:30" x14ac:dyDescent="0.25">
      <c r="E30" s="32"/>
      <c r="F30" s="78" t="s">
        <v>246</v>
      </c>
      <c r="G30" s="72" t="s">
        <v>206</v>
      </c>
      <c r="I30" s="23"/>
      <c r="J30" s="257">
        <v>13713.32246963591</v>
      </c>
      <c r="K30" s="257">
        <v>1.3981029513384524</v>
      </c>
      <c r="L30" s="257">
        <v>601.04321517970027</v>
      </c>
      <c r="M30" s="257">
        <v>0</v>
      </c>
      <c r="N30" s="257">
        <v>1596.4649999999999</v>
      </c>
      <c r="O30" s="83"/>
      <c r="P30" s="83"/>
      <c r="Q30" s="257">
        <v>0</v>
      </c>
      <c r="R30" s="83"/>
      <c r="S30" s="83"/>
      <c r="T30" s="257">
        <v>20.430032150505486</v>
      </c>
      <c r="U30" s="257">
        <v>0.57025605316046324</v>
      </c>
      <c r="V30" s="83"/>
      <c r="W30" s="257">
        <v>0</v>
      </c>
      <c r="X30" s="83"/>
      <c r="Y30" s="83"/>
      <c r="Z30" s="83"/>
      <c r="AA30" s="83"/>
      <c r="AB30" s="83"/>
    </row>
    <row r="31" spans="3:30" x14ac:dyDescent="0.25">
      <c r="E31" s="32"/>
      <c r="F31" s="72" t="s">
        <v>247</v>
      </c>
      <c r="G31" s="72" t="s">
        <v>206</v>
      </c>
      <c r="J31" s="345">
        <v>48809.781090218552</v>
      </c>
      <c r="K31" s="345">
        <v>25.329659479528413</v>
      </c>
      <c r="L31" s="345">
        <v>3253.025245448257</v>
      </c>
      <c r="M31" s="345">
        <v>0</v>
      </c>
      <c r="N31" s="345">
        <v>7155.5069999999996</v>
      </c>
      <c r="O31" s="79"/>
      <c r="P31" s="79"/>
      <c r="Q31" s="258">
        <v>0</v>
      </c>
      <c r="R31" s="79"/>
      <c r="S31" s="79"/>
      <c r="T31" s="345">
        <v>273.96068150852608</v>
      </c>
      <c r="U31" s="345">
        <v>2.0830307980493821</v>
      </c>
      <c r="V31" s="79"/>
      <c r="W31" s="345">
        <v>0</v>
      </c>
      <c r="X31" s="79"/>
      <c r="Y31" s="79"/>
      <c r="Z31" s="79"/>
      <c r="AA31" s="79"/>
      <c r="AB31" s="79"/>
    </row>
    <row r="32" spans="3:30" x14ac:dyDescent="0.25">
      <c r="E32" s="32"/>
      <c r="F32" s="72" t="s">
        <v>248</v>
      </c>
      <c r="G32" s="72" t="s">
        <v>206</v>
      </c>
      <c r="J32" s="345">
        <v>44956.580637555373</v>
      </c>
      <c r="K32" s="345">
        <v>257.47123756913317</v>
      </c>
      <c r="L32" s="345">
        <v>3140.330539372042</v>
      </c>
      <c r="M32" s="345">
        <v>0</v>
      </c>
      <c r="N32" s="345">
        <v>6545.246000000001</v>
      </c>
      <c r="O32" s="79"/>
      <c r="P32" s="79"/>
      <c r="Q32" s="258">
        <v>0</v>
      </c>
      <c r="R32" s="79"/>
      <c r="S32" s="79"/>
      <c r="T32" s="345">
        <v>303.25428634096841</v>
      </c>
      <c r="U32" s="345">
        <v>1.9454499908954175</v>
      </c>
      <c r="V32" s="79"/>
      <c r="W32" s="345">
        <v>0</v>
      </c>
      <c r="X32" s="79"/>
      <c r="Y32" s="79"/>
      <c r="Z32" s="79"/>
      <c r="AA32" s="79"/>
      <c r="AB32" s="79"/>
    </row>
    <row r="33" spans="5:30" x14ac:dyDescent="0.25">
      <c r="E33" s="32"/>
      <c r="F33" s="72" t="s">
        <v>211</v>
      </c>
      <c r="G33" s="72" t="s">
        <v>211</v>
      </c>
      <c r="J33" s="345">
        <v>41179.93548387097</v>
      </c>
      <c r="K33" s="345">
        <v>67</v>
      </c>
      <c r="L33" s="345">
        <v>1036.6774193548388</v>
      </c>
      <c r="M33" s="345">
        <v>0</v>
      </c>
      <c r="N33" s="345">
        <v>76</v>
      </c>
      <c r="O33" s="79"/>
      <c r="P33" s="79"/>
      <c r="Q33" s="258">
        <v>0</v>
      </c>
      <c r="R33" s="79"/>
      <c r="S33" s="79"/>
      <c r="T33" s="345">
        <v>34</v>
      </c>
      <c r="U33" s="345">
        <v>3</v>
      </c>
      <c r="V33" s="79"/>
      <c r="W33" s="345">
        <v>0</v>
      </c>
      <c r="X33" s="79"/>
      <c r="Y33" s="79"/>
      <c r="Z33" s="79"/>
      <c r="AA33" s="79"/>
      <c r="AB33" s="79"/>
    </row>
    <row r="34" spans="5:30" x14ac:dyDescent="0.25">
      <c r="E34" s="32"/>
      <c r="F34" s="72" t="s">
        <v>249</v>
      </c>
      <c r="G34" s="72" t="s">
        <v>250</v>
      </c>
      <c r="J34" s="79"/>
      <c r="K34" s="79"/>
      <c r="L34" s="79"/>
      <c r="M34" s="79"/>
      <c r="N34" s="345">
        <v>10403</v>
      </c>
      <c r="O34" s="79"/>
      <c r="P34" s="79"/>
      <c r="Q34" s="258">
        <v>0</v>
      </c>
      <c r="R34" s="79"/>
      <c r="S34" s="79"/>
      <c r="T34" s="79"/>
      <c r="U34" s="79"/>
      <c r="V34" s="79"/>
      <c r="W34" s="79"/>
      <c r="X34" s="79"/>
      <c r="Y34" s="79"/>
      <c r="Z34" s="79"/>
      <c r="AA34" s="79"/>
      <c r="AB34" s="79"/>
    </row>
    <row r="35" spans="5:30" x14ac:dyDescent="0.25">
      <c r="E35" s="32"/>
      <c r="F35" s="72" t="s">
        <v>251</v>
      </c>
      <c r="G35" s="72" t="s">
        <v>250</v>
      </c>
      <c r="J35" s="79"/>
      <c r="K35" s="79"/>
      <c r="L35" s="79"/>
      <c r="M35" s="79"/>
      <c r="N35" s="345">
        <v>41.612000000000002</v>
      </c>
      <c r="O35" s="79"/>
      <c r="P35" s="79"/>
      <c r="Q35" s="258">
        <v>0</v>
      </c>
      <c r="R35" s="79"/>
      <c r="S35" s="79"/>
      <c r="T35" s="79"/>
      <c r="U35" s="79"/>
      <c r="V35" s="79"/>
      <c r="W35" s="79"/>
      <c r="X35" s="79"/>
      <c r="Y35" s="79"/>
      <c r="Z35" s="79"/>
      <c r="AA35" s="79"/>
      <c r="AB35" s="79"/>
    </row>
    <row r="36" spans="5:30" x14ac:dyDescent="0.25">
      <c r="E36" s="32"/>
      <c r="F36" s="80" t="s">
        <v>252</v>
      </c>
      <c r="G36" s="80" t="s">
        <v>253</v>
      </c>
      <c r="H36" s="37"/>
      <c r="I36" s="37"/>
      <c r="J36" s="81"/>
      <c r="K36" s="81"/>
      <c r="L36" s="81"/>
      <c r="M36" s="81"/>
      <c r="N36" s="259">
        <v>936</v>
      </c>
      <c r="O36" s="81"/>
      <c r="P36" s="81"/>
      <c r="Q36" s="259">
        <v>0</v>
      </c>
      <c r="R36" s="81"/>
      <c r="S36" s="81"/>
      <c r="T36" s="81"/>
      <c r="U36" s="81"/>
      <c r="V36" s="81"/>
      <c r="W36" s="259">
        <v>0</v>
      </c>
      <c r="X36" s="81"/>
      <c r="Y36" s="81"/>
      <c r="Z36" s="81"/>
      <c r="AA36" s="81"/>
      <c r="AB36" s="81"/>
    </row>
    <row r="37" spans="5:30" s="263" customFormat="1" x14ac:dyDescent="0.25">
      <c r="E37" s="264"/>
      <c r="F37" s="239"/>
      <c r="G37" s="239"/>
      <c r="J37" s="265"/>
      <c r="K37" s="265"/>
      <c r="L37" s="265"/>
      <c r="M37" s="265"/>
      <c r="N37" s="266"/>
      <c r="O37" s="265"/>
      <c r="P37" s="265"/>
      <c r="Q37" s="265"/>
      <c r="R37" s="265"/>
      <c r="S37" s="265"/>
      <c r="T37" s="265"/>
      <c r="U37" s="265"/>
      <c r="V37" s="265"/>
      <c r="W37" s="266"/>
      <c r="X37" s="265"/>
      <c r="Y37" s="265"/>
      <c r="Z37" s="265"/>
      <c r="AA37" s="265"/>
      <c r="AB37" s="265"/>
    </row>
    <row r="38" spans="5:30" x14ac:dyDescent="0.25">
      <c r="E38" s="32" t="s">
        <v>255</v>
      </c>
      <c r="G38" s="80"/>
      <c r="H38" s="37"/>
      <c r="I38" t="s">
        <v>153</v>
      </c>
      <c r="J38" s="82"/>
      <c r="K38" s="82"/>
      <c r="L38" s="82"/>
      <c r="M38" s="82"/>
      <c r="N38" s="82"/>
      <c r="O38" s="82"/>
      <c r="P38" s="82"/>
      <c r="Q38" s="82"/>
      <c r="R38" s="82"/>
      <c r="S38" s="82"/>
      <c r="T38" s="82"/>
      <c r="U38" s="82"/>
      <c r="V38" s="82"/>
      <c r="W38" s="82"/>
      <c r="X38" s="82"/>
      <c r="Y38" s="82"/>
      <c r="Z38" s="82"/>
      <c r="AA38" s="82"/>
      <c r="AB38" s="82"/>
      <c r="AD38" t="s">
        <v>245</v>
      </c>
    </row>
    <row r="39" spans="5:30" x14ac:dyDescent="0.25">
      <c r="F39" s="78" t="s">
        <v>246</v>
      </c>
      <c r="G39" s="72" t="s">
        <v>206</v>
      </c>
      <c r="I39" s="23"/>
      <c r="J39" s="257">
        <v>20104.099696926573</v>
      </c>
      <c r="K39" s="257">
        <v>2.0480897481131533</v>
      </c>
      <c r="L39" s="257">
        <v>2081.7354094794059</v>
      </c>
      <c r="M39" s="257">
        <v>0</v>
      </c>
      <c r="N39" s="257">
        <v>13322.004999999999</v>
      </c>
      <c r="O39" s="257">
        <v>2210.538</v>
      </c>
      <c r="P39" s="257">
        <v>5129.4559999999992</v>
      </c>
      <c r="Q39" s="257">
        <v>0</v>
      </c>
      <c r="R39" s="257">
        <v>0</v>
      </c>
      <c r="S39" s="257">
        <v>0</v>
      </c>
      <c r="T39" s="257">
        <v>30.879361230900383</v>
      </c>
      <c r="U39" s="257">
        <v>0.25597879022110009</v>
      </c>
      <c r="V39" s="257">
        <v>0</v>
      </c>
      <c r="W39" s="257">
        <v>0</v>
      </c>
      <c r="X39" s="83"/>
      <c r="Y39" s="257">
        <v>0</v>
      </c>
      <c r="Z39" s="83"/>
      <c r="AA39" s="257">
        <v>0</v>
      </c>
      <c r="AB39" s="83"/>
    </row>
    <row r="40" spans="5:30" x14ac:dyDescent="0.25">
      <c r="F40" s="72" t="s">
        <v>247</v>
      </c>
      <c r="G40" s="72" t="s">
        <v>206</v>
      </c>
      <c r="J40" s="345">
        <v>71593.395504093525</v>
      </c>
      <c r="K40" s="345">
        <v>37.263746671521595</v>
      </c>
      <c r="L40" s="345">
        <v>11268.104540991542</v>
      </c>
      <c r="M40" s="345">
        <v>0</v>
      </c>
      <c r="N40" s="345">
        <v>59210.165999999997</v>
      </c>
      <c r="O40" s="345">
        <v>9690.4299999999985</v>
      </c>
      <c r="P40" s="345">
        <v>23108.695</v>
      </c>
      <c r="Q40" s="258">
        <v>0</v>
      </c>
      <c r="R40" s="258">
        <v>0</v>
      </c>
      <c r="S40" s="258">
        <v>0</v>
      </c>
      <c r="T40" s="345">
        <v>425.49872061278865</v>
      </c>
      <c r="U40" s="345">
        <v>0.94265200118290493</v>
      </c>
      <c r="V40" s="345">
        <v>0</v>
      </c>
      <c r="W40" s="345">
        <v>0</v>
      </c>
      <c r="X40" s="79"/>
      <c r="Y40" s="345">
        <v>0</v>
      </c>
      <c r="Z40" s="79"/>
      <c r="AA40" s="345">
        <v>0</v>
      </c>
      <c r="AB40" s="79"/>
    </row>
    <row r="41" spans="5:30" x14ac:dyDescent="0.25">
      <c r="F41" s="72" t="s">
        <v>248</v>
      </c>
      <c r="G41" s="72" t="s">
        <v>206</v>
      </c>
      <c r="J41" s="345">
        <v>65951.865798979896</v>
      </c>
      <c r="K41" s="345">
        <v>378.23816358036527</v>
      </c>
      <c r="L41" s="345">
        <v>10881.052049529049</v>
      </c>
      <c r="M41" s="345">
        <v>0</v>
      </c>
      <c r="N41" s="345">
        <v>50706.112000000001</v>
      </c>
      <c r="O41" s="345">
        <v>8312.2019999999993</v>
      </c>
      <c r="P41" s="345">
        <v>25303.565000000002</v>
      </c>
      <c r="Q41" s="258">
        <v>0</v>
      </c>
      <c r="R41" s="258">
        <v>0</v>
      </c>
      <c r="S41" s="258">
        <v>0</v>
      </c>
      <c r="T41" s="345">
        <v>470.53235815631092</v>
      </c>
      <c r="U41" s="345">
        <v>0.86715492288170914</v>
      </c>
      <c r="V41" s="345">
        <v>0</v>
      </c>
      <c r="W41" s="345">
        <v>0</v>
      </c>
      <c r="X41" s="79"/>
      <c r="Y41" s="345">
        <v>0</v>
      </c>
      <c r="Z41" s="79"/>
      <c r="AA41" s="345">
        <v>0</v>
      </c>
      <c r="AB41" s="79"/>
    </row>
    <row r="42" spans="5:30" x14ac:dyDescent="0.25">
      <c r="F42" s="72" t="s">
        <v>211</v>
      </c>
      <c r="G42" s="72" t="s">
        <v>211</v>
      </c>
      <c r="J42" s="345">
        <v>58740.548387096773</v>
      </c>
      <c r="K42" s="345">
        <v>78.451612903225808</v>
      </c>
      <c r="L42" s="345">
        <v>1509.8709677419354</v>
      </c>
      <c r="M42" s="345">
        <v>0</v>
      </c>
      <c r="N42" s="345">
        <v>381</v>
      </c>
      <c r="O42" s="345">
        <v>26</v>
      </c>
      <c r="P42" s="345">
        <v>30</v>
      </c>
      <c r="Q42" s="258">
        <v>0</v>
      </c>
      <c r="R42" s="258">
        <v>0</v>
      </c>
      <c r="S42" s="258">
        <v>0</v>
      </c>
      <c r="T42" s="345">
        <v>46</v>
      </c>
      <c r="U42" s="345">
        <v>5</v>
      </c>
      <c r="V42" s="345">
        <v>0</v>
      </c>
      <c r="W42" s="345">
        <v>0</v>
      </c>
      <c r="X42" s="79"/>
      <c r="Y42" s="345">
        <v>0</v>
      </c>
      <c r="Z42" s="79"/>
      <c r="AA42" s="345">
        <v>0</v>
      </c>
      <c r="AB42" s="79"/>
    </row>
    <row r="43" spans="5:30" x14ac:dyDescent="0.25">
      <c r="F43" s="72" t="s">
        <v>249</v>
      </c>
      <c r="G43" s="72" t="s">
        <v>250</v>
      </c>
      <c r="J43" s="79"/>
      <c r="K43" s="79"/>
      <c r="L43" s="79"/>
      <c r="M43" s="79"/>
      <c r="N43" s="345">
        <v>87614</v>
      </c>
      <c r="O43" s="345">
        <v>13995</v>
      </c>
      <c r="P43" s="345">
        <v>28618</v>
      </c>
      <c r="Q43" s="258">
        <v>0</v>
      </c>
      <c r="R43" s="258">
        <v>0</v>
      </c>
      <c r="S43" s="258">
        <v>0</v>
      </c>
      <c r="T43" s="79"/>
      <c r="U43" s="79"/>
      <c r="V43" s="79"/>
      <c r="W43" s="79"/>
      <c r="X43" s="79"/>
      <c r="Y43" s="79"/>
      <c r="Z43" s="79"/>
      <c r="AA43" s="79"/>
      <c r="AB43" s="79"/>
    </row>
    <row r="44" spans="5:30" x14ac:dyDescent="0.25">
      <c r="F44" s="72" t="s">
        <v>251</v>
      </c>
      <c r="G44" s="72" t="s">
        <v>250</v>
      </c>
      <c r="J44" s="79"/>
      <c r="K44" s="79"/>
      <c r="L44" s="79"/>
      <c r="M44" s="79"/>
      <c r="N44" s="345">
        <v>175.22800000000001</v>
      </c>
      <c r="O44" s="345">
        <v>0</v>
      </c>
      <c r="P44" s="345">
        <v>14.309000000000001</v>
      </c>
      <c r="Q44" s="258">
        <v>0</v>
      </c>
      <c r="R44" s="258">
        <v>0</v>
      </c>
      <c r="S44" s="258">
        <v>0</v>
      </c>
      <c r="T44" s="79"/>
      <c r="U44" s="79"/>
      <c r="V44" s="79"/>
      <c r="W44" s="79"/>
      <c r="X44" s="79"/>
      <c r="Y44" s="79"/>
      <c r="Z44" s="79"/>
      <c r="AA44" s="79"/>
      <c r="AB44" s="79"/>
    </row>
    <row r="45" spans="5:30" x14ac:dyDescent="0.25">
      <c r="F45" s="80" t="s">
        <v>252</v>
      </c>
      <c r="G45" s="80" t="s">
        <v>253</v>
      </c>
      <c r="H45" s="37"/>
      <c r="I45" s="37"/>
      <c r="J45" s="81"/>
      <c r="K45" s="81"/>
      <c r="L45" s="81"/>
      <c r="M45" s="81"/>
      <c r="N45" s="259">
        <v>9000</v>
      </c>
      <c r="O45" s="259">
        <v>1320</v>
      </c>
      <c r="P45" s="259">
        <v>1908</v>
      </c>
      <c r="Q45" s="259">
        <v>0</v>
      </c>
      <c r="R45" s="259">
        <v>0</v>
      </c>
      <c r="S45" s="259">
        <v>0</v>
      </c>
      <c r="T45" s="81"/>
      <c r="U45" s="81"/>
      <c r="V45" s="81"/>
      <c r="W45" s="259">
        <v>0</v>
      </c>
      <c r="X45" s="81"/>
      <c r="Y45" s="259">
        <v>0</v>
      </c>
      <c r="Z45" s="81"/>
      <c r="AA45" s="259">
        <v>0</v>
      </c>
      <c r="AB45" s="81"/>
    </row>
    <row r="46" spans="5:30" x14ac:dyDescent="0.25">
      <c r="G46" s="13"/>
    </row>
    <row r="47" spans="5:30" x14ac:dyDescent="0.25">
      <c r="E47" s="32" t="s">
        <v>1001</v>
      </c>
      <c r="G47" s="13" t="s">
        <v>211</v>
      </c>
      <c r="I47" t="s">
        <v>153</v>
      </c>
      <c r="J47" s="354">
        <v>3083</v>
      </c>
      <c r="K47" s="345">
        <v>0</v>
      </c>
      <c r="L47" s="350">
        <v>42</v>
      </c>
      <c r="M47" s="345">
        <v>0</v>
      </c>
      <c r="N47" s="354">
        <v>18</v>
      </c>
      <c r="O47" s="345">
        <v>0</v>
      </c>
      <c r="P47" s="354">
        <v>4</v>
      </c>
      <c r="Q47" s="340"/>
      <c r="R47" s="340"/>
      <c r="S47" s="340"/>
      <c r="T47" s="340"/>
      <c r="U47" s="340"/>
      <c r="V47" s="340"/>
      <c r="W47" s="340"/>
      <c r="X47" s="340"/>
      <c r="Y47" s="340"/>
      <c r="Z47" s="340"/>
      <c r="AA47" s="340"/>
      <c r="AB47" s="340"/>
      <c r="AD47" t="s">
        <v>1025</v>
      </c>
    </row>
    <row r="48" spans="5:30" x14ac:dyDescent="0.25">
      <c r="G48" s="13"/>
    </row>
    <row r="49" spans="3:30" x14ac:dyDescent="0.25">
      <c r="C49" s="31" t="str">
        <f ca="1">INDEX('Version control'!$H$34:$H$57,MATCH($A$1,'Version control'!$F$34:$F$57,0),1)&amp;"-C: Service model asset values"</f>
        <v>Input 102-C: Service model asset values</v>
      </c>
      <c r="D49" s="31"/>
      <c r="E49" s="31"/>
      <c r="F49" s="31"/>
      <c r="G49" s="31"/>
      <c r="H49" s="31"/>
      <c r="I49" s="31"/>
      <c r="J49" s="31"/>
      <c r="K49" s="31"/>
      <c r="L49" s="31"/>
      <c r="M49" s="31"/>
      <c r="N49" s="31"/>
      <c r="O49" s="31"/>
      <c r="P49" s="31"/>
      <c r="Q49" s="31"/>
      <c r="R49" s="31"/>
      <c r="S49" s="31"/>
      <c r="T49" s="31"/>
      <c r="U49" s="31"/>
      <c r="V49" s="31"/>
      <c r="W49" s="31"/>
      <c r="X49" s="31"/>
      <c r="Y49" s="31"/>
      <c r="Z49" s="31"/>
      <c r="AA49" s="31"/>
      <c r="AB49" s="31"/>
      <c r="AC49" s="31"/>
      <c r="AD49" s="31"/>
    </row>
    <row r="50" spans="3:30" x14ac:dyDescent="0.25">
      <c r="G50" s="13"/>
    </row>
    <row r="51" spans="3:30" x14ac:dyDescent="0.25">
      <c r="D51" s="29" t="s">
        <v>257</v>
      </c>
      <c r="H51" s="63"/>
    </row>
    <row r="52" spans="3:30" x14ac:dyDescent="0.25">
      <c r="G52" s="13"/>
      <c r="I52" t="s">
        <v>153</v>
      </c>
      <c r="AD52" t="s">
        <v>258</v>
      </c>
    </row>
    <row r="53" spans="3:30" x14ac:dyDescent="0.25">
      <c r="D53" s="88"/>
      <c r="E53" t="s">
        <v>259</v>
      </c>
      <c r="G53" t="s">
        <v>260</v>
      </c>
      <c r="H53" s="51"/>
      <c r="J53" s="258">
        <v>377.70000000000005</v>
      </c>
      <c r="K53" s="79"/>
      <c r="L53" s="258">
        <v>508.75</v>
      </c>
      <c r="M53" s="79"/>
      <c r="N53" s="258">
        <v>2380</v>
      </c>
      <c r="O53" s="258">
        <v>840</v>
      </c>
      <c r="P53" s="79"/>
      <c r="Q53" s="258">
        <v>2380</v>
      </c>
      <c r="R53" s="258">
        <v>840</v>
      </c>
      <c r="S53" s="79"/>
      <c r="T53" s="79"/>
      <c r="U53" s="258"/>
      <c r="V53" s="258"/>
      <c r="W53" s="258"/>
      <c r="X53" s="258"/>
      <c r="Y53" s="258"/>
      <c r="Z53" s="258"/>
      <c r="AA53" s="79"/>
      <c r="AB53" s="79"/>
    </row>
    <row r="54" spans="3:30" x14ac:dyDescent="0.25">
      <c r="D54" s="88"/>
      <c r="E54" t="s">
        <v>261</v>
      </c>
      <c r="G54" t="s">
        <v>260</v>
      </c>
      <c r="H54" s="51"/>
      <c r="J54" s="79"/>
      <c r="K54" s="79"/>
      <c r="L54" s="79"/>
      <c r="M54" s="79"/>
      <c r="N54" s="79"/>
      <c r="O54" s="79"/>
      <c r="P54" s="258">
        <v>12718.10554</v>
      </c>
      <c r="Q54" s="79"/>
      <c r="R54" s="79"/>
      <c r="S54" s="258">
        <v>12718.10554</v>
      </c>
      <c r="T54" s="79"/>
      <c r="U54" s="79"/>
      <c r="V54" s="79"/>
      <c r="W54" s="79"/>
      <c r="X54" s="79"/>
      <c r="Y54" s="79"/>
      <c r="Z54" s="79"/>
      <c r="AA54" s="258">
        <v>9287</v>
      </c>
      <c r="AB54" s="258">
        <v>9287</v>
      </c>
    </row>
    <row r="55" spans="3:30" x14ac:dyDescent="0.25">
      <c r="G55" s="13"/>
      <c r="J55" s="89"/>
      <c r="K55" s="89"/>
      <c r="L55" s="89"/>
      <c r="M55" s="89"/>
      <c r="N55" s="89"/>
      <c r="O55" s="89"/>
      <c r="P55" s="89"/>
      <c r="Q55" s="89"/>
      <c r="R55" s="89"/>
      <c r="S55" s="89"/>
      <c r="T55" s="89"/>
      <c r="U55" s="89"/>
      <c r="V55" s="89"/>
      <c r="W55" s="89"/>
      <c r="X55" s="89"/>
      <c r="Y55" s="89"/>
      <c r="Z55" s="89"/>
      <c r="AA55" s="89"/>
      <c r="AB55" s="89"/>
    </row>
    <row r="56" spans="3:30" x14ac:dyDescent="0.25">
      <c r="D56" s="88"/>
      <c r="E56" t="s">
        <v>262</v>
      </c>
      <c r="G56" t="s">
        <v>263</v>
      </c>
      <c r="I56" t="s">
        <v>153</v>
      </c>
      <c r="J56" s="79"/>
      <c r="K56" s="79"/>
      <c r="L56" s="79"/>
      <c r="M56" s="79"/>
      <c r="N56" s="79"/>
      <c r="O56" s="79"/>
      <c r="P56" s="79"/>
      <c r="Q56" s="79"/>
      <c r="R56" s="79"/>
      <c r="S56" s="79"/>
      <c r="T56" s="258">
        <v>120.51</v>
      </c>
      <c r="U56" s="79"/>
      <c r="V56" s="79"/>
      <c r="W56" s="79"/>
      <c r="X56" s="79"/>
      <c r="Y56" s="79"/>
      <c r="Z56" s="79"/>
      <c r="AA56" s="79"/>
      <c r="AB56" s="79"/>
      <c r="AD56" t="s">
        <v>264</v>
      </c>
    </row>
    <row r="57" spans="3:30" x14ac:dyDescent="0.25">
      <c r="D57" s="88"/>
      <c r="J57" s="89"/>
      <c r="K57" s="89"/>
      <c r="L57" s="89"/>
      <c r="M57" s="89"/>
      <c r="N57" s="89"/>
      <c r="O57" s="89"/>
      <c r="P57" s="89"/>
      <c r="Q57" s="89"/>
      <c r="R57" s="89"/>
      <c r="S57" s="89"/>
      <c r="T57" s="89"/>
      <c r="U57" s="89"/>
      <c r="V57" s="89"/>
      <c r="W57" s="89"/>
      <c r="X57" s="89"/>
      <c r="Y57" s="89"/>
      <c r="Z57" s="89"/>
      <c r="AA57" s="89"/>
      <c r="AB57" s="89"/>
    </row>
    <row r="58" spans="3:30" x14ac:dyDescent="0.25">
      <c r="C58" s="31" t="str">
        <f ca="1">INDEX('Version control'!$H$34:$H$57,MATCH($A$1,'Version control'!$F$34:$F$57,0),1)&amp;"-D: Previous year all-the-way tariff forecast"</f>
        <v>Input 102-D: Previous year all-the-way tariff forecast</v>
      </c>
      <c r="D58" s="31"/>
      <c r="E58" s="31"/>
      <c r="F58" s="31"/>
      <c r="G58" s="31"/>
      <c r="H58" s="31"/>
      <c r="I58" s="31"/>
      <c r="J58" s="90"/>
      <c r="K58" s="90"/>
      <c r="L58" s="90"/>
      <c r="M58" s="90"/>
      <c r="N58" s="90"/>
      <c r="O58" s="90"/>
      <c r="P58" s="90"/>
      <c r="Q58" s="90"/>
      <c r="R58" s="90"/>
      <c r="S58" s="90"/>
      <c r="T58" s="90"/>
      <c r="U58" s="90"/>
      <c r="V58" s="90"/>
      <c r="W58" s="90"/>
      <c r="X58" s="90"/>
      <c r="Y58" s="90"/>
      <c r="Z58" s="90"/>
      <c r="AA58" s="90"/>
      <c r="AB58" s="90"/>
      <c r="AC58" s="31"/>
      <c r="AD58" s="31"/>
    </row>
    <row r="59" spans="3:30" x14ac:dyDescent="0.25">
      <c r="F59" s="87"/>
      <c r="G59" s="72"/>
      <c r="J59" s="89"/>
      <c r="K59" s="89"/>
      <c r="L59" s="89"/>
      <c r="M59" s="89"/>
      <c r="N59" s="89"/>
      <c r="O59" s="89"/>
      <c r="P59" s="89"/>
      <c r="Q59" s="89"/>
      <c r="R59" s="89"/>
      <c r="S59" s="89"/>
      <c r="T59" s="89"/>
      <c r="U59" s="89"/>
      <c r="V59" s="89"/>
      <c r="W59" s="89"/>
      <c r="X59" s="89"/>
      <c r="Y59" s="89"/>
      <c r="Z59" s="89"/>
      <c r="AA59" s="89"/>
      <c r="AB59" s="89"/>
    </row>
    <row r="60" spans="3:30" x14ac:dyDescent="0.25">
      <c r="D60" s="29" t="s">
        <v>265</v>
      </c>
      <c r="G60" s="13"/>
      <c r="J60" s="89"/>
      <c r="K60" s="89"/>
      <c r="L60" s="89"/>
      <c r="M60" s="89"/>
      <c r="N60" s="89"/>
      <c r="O60" s="89"/>
      <c r="P60" s="89"/>
      <c r="Q60" s="89"/>
      <c r="R60" s="89"/>
      <c r="S60" s="89"/>
      <c r="T60" s="89"/>
      <c r="U60" s="89"/>
      <c r="V60" s="89"/>
      <c r="W60" s="89"/>
      <c r="X60" s="89"/>
      <c r="Y60" s="89"/>
      <c r="Z60" s="89"/>
      <c r="AA60" s="89"/>
      <c r="AB60" s="89"/>
    </row>
    <row r="61" spans="3:30" x14ac:dyDescent="0.25">
      <c r="D61" s="91" t="s">
        <v>266</v>
      </c>
      <c r="G61" s="13"/>
      <c r="J61" s="89"/>
      <c r="K61" s="89"/>
      <c r="L61" s="89"/>
      <c r="M61" s="89"/>
      <c r="N61" s="89"/>
      <c r="O61" s="89"/>
      <c r="P61" s="89"/>
      <c r="Q61" s="89"/>
      <c r="R61" s="89"/>
      <c r="S61" s="89"/>
      <c r="T61" s="89"/>
      <c r="U61" s="89"/>
      <c r="V61" s="89"/>
      <c r="W61" s="89"/>
      <c r="X61" s="89"/>
      <c r="Y61" s="89"/>
      <c r="Z61" s="89"/>
      <c r="AA61" s="89"/>
      <c r="AB61" s="89"/>
    </row>
    <row r="62" spans="3:30" x14ac:dyDescent="0.25">
      <c r="D62" s="91"/>
      <c r="G62" s="13"/>
      <c r="J62" s="89"/>
      <c r="K62" s="89"/>
      <c r="L62" s="89"/>
      <c r="M62" s="89"/>
      <c r="N62" s="89"/>
      <c r="O62" s="89"/>
      <c r="P62" s="89"/>
      <c r="Q62" s="89"/>
      <c r="R62" s="89"/>
      <c r="S62" s="89"/>
      <c r="T62" s="89"/>
      <c r="U62" s="89"/>
      <c r="V62" s="89"/>
      <c r="W62" s="89"/>
      <c r="X62" s="89"/>
      <c r="Y62" s="89"/>
      <c r="Z62" s="89"/>
      <c r="AA62" s="89"/>
      <c r="AB62" s="89"/>
    </row>
    <row r="63" spans="3:30" x14ac:dyDescent="0.25">
      <c r="E63" s="32" t="s">
        <v>267</v>
      </c>
      <c r="G63" s="13"/>
      <c r="J63" s="89"/>
      <c r="K63" s="89"/>
      <c r="L63" s="89"/>
      <c r="M63" s="89"/>
      <c r="N63" s="89"/>
      <c r="O63" s="89"/>
      <c r="P63" s="89"/>
      <c r="Q63" s="89"/>
      <c r="R63" s="89"/>
      <c r="S63" s="89"/>
      <c r="T63" s="89"/>
      <c r="U63" s="89"/>
      <c r="V63" s="89"/>
      <c r="W63" s="89"/>
      <c r="X63" s="89"/>
      <c r="Y63" s="89"/>
      <c r="Z63" s="89"/>
      <c r="AA63" s="89"/>
      <c r="AB63" s="89"/>
    </row>
    <row r="64" spans="3:30" x14ac:dyDescent="0.25">
      <c r="F64" s="23" t="s">
        <v>155</v>
      </c>
      <c r="G64" s="23" t="s">
        <v>268</v>
      </c>
      <c r="H64" s="269"/>
      <c r="I64" s="269"/>
      <c r="J64" s="270"/>
      <c r="K64" s="270"/>
      <c r="L64" s="270"/>
      <c r="M64" s="270"/>
      <c r="N64" s="270">
        <v>7.4569999999999999</v>
      </c>
      <c r="O64" s="270">
        <v>5.0540000000000003</v>
      </c>
      <c r="P64" s="270">
        <v>3.952</v>
      </c>
      <c r="Q64" s="270"/>
      <c r="R64" s="270"/>
      <c r="S64" s="270"/>
      <c r="T64" s="270"/>
      <c r="U64" s="270"/>
      <c r="V64" s="270"/>
      <c r="W64" s="270"/>
      <c r="X64" s="270"/>
      <c r="Y64" s="270"/>
      <c r="Z64" s="270"/>
      <c r="AA64" s="270"/>
      <c r="AB64" s="270"/>
      <c r="AC64" s="271"/>
      <c r="AD64" s="271"/>
    </row>
    <row r="65" spans="2:30" x14ac:dyDescent="0.25">
      <c r="F65" t="s">
        <v>156</v>
      </c>
      <c r="G65" t="s">
        <v>268</v>
      </c>
      <c r="H65" s="271"/>
      <c r="I65" s="271"/>
      <c r="J65" s="273"/>
      <c r="K65" s="273"/>
      <c r="L65" s="273"/>
      <c r="M65" s="273"/>
      <c r="N65" s="273">
        <v>1.9019999999999999</v>
      </c>
      <c r="O65" s="273">
        <v>1.6180000000000001</v>
      </c>
      <c r="P65" s="273">
        <v>1.5029999999999999</v>
      </c>
      <c r="Q65" s="273"/>
      <c r="R65" s="273"/>
      <c r="S65" s="273"/>
      <c r="T65" s="274"/>
      <c r="U65" s="274"/>
      <c r="V65" s="274"/>
      <c r="W65" s="273"/>
      <c r="X65" s="273"/>
      <c r="Y65" s="273"/>
      <c r="Z65" s="273"/>
      <c r="AA65" s="273"/>
      <c r="AB65" s="273"/>
      <c r="AC65" s="271"/>
      <c r="AD65" s="271"/>
    </row>
    <row r="66" spans="2:30" x14ac:dyDescent="0.25">
      <c r="F66" t="s">
        <v>157</v>
      </c>
      <c r="G66" t="s">
        <v>268</v>
      </c>
      <c r="H66" s="271"/>
      <c r="I66" s="271"/>
      <c r="J66" s="273"/>
      <c r="K66" s="273"/>
      <c r="L66" s="273"/>
      <c r="M66" s="273"/>
      <c r="N66" s="273">
        <v>1.3009999999999999</v>
      </c>
      <c r="O66" s="273">
        <v>1.2889999999999999</v>
      </c>
      <c r="P66" s="273">
        <v>1.2849999999999999</v>
      </c>
      <c r="Q66" s="273"/>
      <c r="R66" s="273"/>
      <c r="S66" s="273"/>
      <c r="T66" s="274"/>
      <c r="U66" s="274"/>
      <c r="V66" s="274"/>
      <c r="W66" s="273"/>
      <c r="X66" s="273"/>
      <c r="Y66" s="273"/>
      <c r="Z66" s="273"/>
      <c r="AA66" s="273"/>
      <c r="AB66" s="273"/>
      <c r="AC66" s="271"/>
      <c r="AD66" s="271"/>
    </row>
    <row r="67" spans="2:30" x14ac:dyDescent="0.25">
      <c r="F67" t="s">
        <v>158</v>
      </c>
      <c r="G67" t="s">
        <v>269</v>
      </c>
      <c r="J67" s="258"/>
      <c r="K67" s="79"/>
      <c r="L67" s="258"/>
      <c r="M67" s="79"/>
      <c r="N67" s="258">
        <v>21.68</v>
      </c>
      <c r="O67" s="258">
        <v>7.65</v>
      </c>
      <c r="P67" s="258">
        <v>115.87</v>
      </c>
      <c r="Q67" s="258"/>
      <c r="R67" s="258"/>
      <c r="S67" s="258"/>
      <c r="T67" s="79"/>
      <c r="U67" s="79"/>
      <c r="V67" s="79"/>
      <c r="W67" s="79"/>
      <c r="X67" s="79"/>
      <c r="Y67" s="79"/>
      <c r="Z67" s="79"/>
      <c r="AA67" s="258"/>
      <c r="AB67" s="258"/>
    </row>
    <row r="68" spans="2:30" x14ac:dyDescent="0.25">
      <c r="F68" t="s">
        <v>159</v>
      </c>
      <c r="G68" t="s">
        <v>270</v>
      </c>
      <c r="J68" s="79"/>
      <c r="K68" s="79"/>
      <c r="L68" s="79"/>
      <c r="M68" s="79"/>
      <c r="N68" s="258">
        <v>2.34</v>
      </c>
      <c r="O68" s="258">
        <v>4.28</v>
      </c>
      <c r="P68" s="258">
        <v>4.7</v>
      </c>
      <c r="Q68" s="258"/>
      <c r="R68" s="258"/>
      <c r="S68" s="258"/>
      <c r="T68" s="79"/>
      <c r="U68" s="79"/>
      <c r="V68" s="79"/>
      <c r="W68" s="79"/>
      <c r="X68" s="79"/>
      <c r="Y68" s="79"/>
      <c r="Z68" s="79"/>
      <c r="AA68" s="79"/>
      <c r="AB68" s="79"/>
    </row>
    <row r="69" spans="2:30" x14ac:dyDescent="0.25">
      <c r="F69" t="s">
        <v>160</v>
      </c>
      <c r="G69" t="s">
        <v>270</v>
      </c>
      <c r="J69" s="79"/>
      <c r="K69" s="79"/>
      <c r="L69" s="79"/>
      <c r="M69" s="79"/>
      <c r="N69" s="258">
        <v>3.51</v>
      </c>
      <c r="O69" s="258">
        <v>4.9000000000000004</v>
      </c>
      <c r="P69" s="258">
        <v>5.84</v>
      </c>
      <c r="Q69" s="258"/>
      <c r="R69" s="258"/>
      <c r="S69" s="258"/>
      <c r="T69" s="79"/>
      <c r="U69" s="79"/>
      <c r="V69" s="79"/>
      <c r="W69" s="79"/>
      <c r="X69" s="79"/>
      <c r="Y69" s="79"/>
      <c r="Z69" s="79"/>
      <c r="AA69" s="79"/>
      <c r="AB69" s="79"/>
    </row>
    <row r="70" spans="2:30" x14ac:dyDescent="0.25">
      <c r="F70" s="37" t="s">
        <v>161</v>
      </c>
      <c r="G70" s="37" t="s">
        <v>271</v>
      </c>
      <c r="H70" s="275"/>
      <c r="I70" s="275"/>
      <c r="J70" s="276"/>
      <c r="K70" s="276"/>
      <c r="L70" s="276"/>
      <c r="M70" s="276"/>
      <c r="N70" s="277">
        <v>0.184</v>
      </c>
      <c r="O70" s="277">
        <v>0.10299999999999999</v>
      </c>
      <c r="P70" s="277">
        <v>6.8000000000000005E-2</v>
      </c>
      <c r="Q70" s="277"/>
      <c r="R70" s="277"/>
      <c r="S70" s="277"/>
      <c r="T70" s="276"/>
      <c r="U70" s="276"/>
      <c r="V70" s="276"/>
      <c r="W70" s="277"/>
      <c r="X70" s="276"/>
      <c r="Y70" s="277"/>
      <c r="Z70" s="276"/>
      <c r="AA70" s="277"/>
      <c r="AB70" s="276"/>
      <c r="AC70" s="271"/>
      <c r="AD70" s="271"/>
    </row>
    <row r="71" spans="2:30" x14ac:dyDescent="0.25">
      <c r="G71" s="13"/>
      <c r="J71" s="89"/>
      <c r="K71" s="89"/>
      <c r="L71" s="89"/>
      <c r="M71" s="89"/>
      <c r="N71" s="89"/>
      <c r="O71" s="89"/>
      <c r="P71" s="89"/>
      <c r="Q71" s="89"/>
      <c r="R71" s="89"/>
      <c r="S71" s="89"/>
      <c r="T71" s="89"/>
      <c r="U71" s="89"/>
      <c r="V71" s="89"/>
      <c r="W71" s="89"/>
      <c r="X71" s="89"/>
      <c r="Y71" s="89"/>
      <c r="Z71" s="89"/>
      <c r="AA71" s="89"/>
      <c r="AB71" s="89"/>
    </row>
    <row r="72" spans="2:30" x14ac:dyDescent="0.25">
      <c r="C72" s="31" t="str">
        <f ca="1">INDEX('Version control'!$H$34:$H$57,MATCH($A$1,'Version control'!$F$34:$F$57,0),1)&amp;"-E: Previous year net revenue (if known)"</f>
        <v>Input 102-E: Previous year net revenue (if known)</v>
      </c>
      <c r="D72" s="31"/>
      <c r="E72" s="31"/>
      <c r="F72" s="31"/>
      <c r="G72" s="31"/>
      <c r="H72" s="31"/>
      <c r="I72" s="31"/>
      <c r="J72" s="90"/>
      <c r="K72" s="90"/>
      <c r="L72" s="90"/>
      <c r="M72" s="90"/>
      <c r="N72" s="90"/>
      <c r="O72" s="90"/>
      <c r="P72" s="90"/>
      <c r="Q72" s="90"/>
      <c r="R72" s="90"/>
      <c r="S72" s="90"/>
      <c r="T72" s="90"/>
      <c r="U72" s="90"/>
      <c r="V72" s="90"/>
      <c r="W72" s="90"/>
      <c r="X72" s="90"/>
      <c r="Y72" s="90"/>
      <c r="Z72" s="90"/>
      <c r="AA72" s="90"/>
      <c r="AB72" s="90"/>
      <c r="AC72" s="31"/>
      <c r="AD72" s="31"/>
    </row>
    <row r="73" spans="2:30" x14ac:dyDescent="0.25">
      <c r="F73" s="87"/>
      <c r="G73" s="72"/>
      <c r="J73" s="89"/>
      <c r="K73" s="89"/>
      <c r="L73" s="89"/>
      <c r="M73" s="89"/>
      <c r="N73" s="89"/>
      <c r="O73" s="89"/>
      <c r="P73" s="89"/>
      <c r="Q73" s="89"/>
      <c r="R73" s="89"/>
      <c r="S73" s="89"/>
      <c r="T73" s="89"/>
      <c r="U73" s="89"/>
      <c r="V73" s="89"/>
      <c r="W73" s="89"/>
      <c r="X73" s="89"/>
      <c r="Y73" s="89"/>
      <c r="Z73" s="89"/>
      <c r="AA73" s="89"/>
      <c r="AB73" s="89"/>
    </row>
    <row r="74" spans="2:30" x14ac:dyDescent="0.25">
      <c r="D74" s="29" t="s">
        <v>272</v>
      </c>
      <c r="G74" s="13"/>
      <c r="J74" s="89"/>
      <c r="K74" s="89"/>
      <c r="L74" s="89"/>
      <c r="M74" s="89"/>
      <c r="N74" s="89"/>
      <c r="O74" s="89"/>
      <c r="P74" s="89"/>
      <c r="Q74" s="89"/>
      <c r="R74" s="89"/>
      <c r="S74" s="89"/>
      <c r="T74" s="89"/>
      <c r="U74" s="89"/>
      <c r="V74" s="89"/>
      <c r="W74" s="89"/>
      <c r="X74" s="89"/>
      <c r="Y74" s="89"/>
      <c r="Z74" s="89"/>
      <c r="AA74" s="89"/>
      <c r="AB74" s="89"/>
    </row>
    <row r="75" spans="2:30" x14ac:dyDescent="0.25">
      <c r="D75" s="91" t="s">
        <v>273</v>
      </c>
      <c r="G75" s="13"/>
      <c r="J75" s="89"/>
      <c r="K75" s="89"/>
      <c r="L75" s="89"/>
      <c r="M75" s="89"/>
      <c r="N75" s="89"/>
      <c r="O75" s="89"/>
      <c r="P75" s="89"/>
      <c r="Q75" s="89"/>
      <c r="R75" s="89"/>
      <c r="S75" s="89"/>
      <c r="T75" s="89"/>
      <c r="U75" s="89"/>
      <c r="V75" s="89"/>
      <c r="W75" s="89"/>
      <c r="X75" s="89"/>
      <c r="Y75" s="89"/>
      <c r="Z75" s="89"/>
      <c r="AA75" s="89"/>
      <c r="AB75" s="89"/>
    </row>
    <row r="76" spans="2:30" x14ac:dyDescent="0.25">
      <c r="D76" s="29" t="s">
        <v>274</v>
      </c>
      <c r="G76" s="13"/>
      <c r="J76" s="89"/>
      <c r="K76" s="89"/>
      <c r="L76" s="89"/>
      <c r="M76" s="89"/>
      <c r="N76" s="89"/>
      <c r="O76" s="89"/>
      <c r="P76" s="89"/>
      <c r="Q76" s="89"/>
      <c r="R76" s="89"/>
      <c r="S76" s="89"/>
      <c r="T76" s="89"/>
      <c r="U76" s="89"/>
      <c r="V76" s="89"/>
      <c r="W76" s="89"/>
      <c r="X76" s="89"/>
      <c r="Y76" s="89"/>
      <c r="Z76" s="89"/>
      <c r="AA76" s="89"/>
      <c r="AB76" s="89"/>
    </row>
    <row r="77" spans="2:30" x14ac:dyDescent="0.25">
      <c r="G77" s="13"/>
      <c r="J77" s="89"/>
      <c r="K77" s="89"/>
      <c r="L77" s="89"/>
      <c r="M77" s="89"/>
      <c r="N77" s="89"/>
      <c r="O77" s="89"/>
      <c r="P77" s="89"/>
      <c r="Q77" s="89"/>
      <c r="R77" s="89"/>
      <c r="S77" s="89"/>
      <c r="T77" s="89"/>
      <c r="U77" s="89"/>
      <c r="V77" s="89"/>
      <c r="W77" s="89"/>
      <c r="X77" s="89"/>
      <c r="Y77" s="89"/>
      <c r="Z77" s="89"/>
      <c r="AA77" s="89"/>
      <c r="AB77" s="89"/>
    </row>
    <row r="78" spans="2:30" x14ac:dyDescent="0.25">
      <c r="E78" t="s">
        <v>275</v>
      </c>
      <c r="G78" t="s">
        <v>276</v>
      </c>
      <c r="J78" s="258">
        <v>192511698.91664749</v>
      </c>
      <c r="K78" s="258">
        <v>4287831.2431029687</v>
      </c>
      <c r="L78" s="258">
        <v>60208144.740000002</v>
      </c>
      <c r="M78" s="258">
        <v>1599071.4324302014</v>
      </c>
      <c r="N78" s="258">
        <v>80185398.101099625</v>
      </c>
      <c r="O78" s="258">
        <v>5331503.7113023</v>
      </c>
      <c r="P78" s="258">
        <v>82387090.328582451</v>
      </c>
      <c r="Q78" s="258"/>
      <c r="R78" s="258"/>
      <c r="S78" s="258"/>
      <c r="T78" s="258">
        <v>6853104.8399999999</v>
      </c>
      <c r="U78" s="258">
        <v>-10186.358880000002</v>
      </c>
      <c r="V78" s="258">
        <v>-272.41083000000003</v>
      </c>
      <c r="W78" s="258">
        <v>-475095.38</v>
      </c>
      <c r="X78" s="258"/>
      <c r="Y78" s="258">
        <v>-10419.36</v>
      </c>
      <c r="Z78" s="258"/>
      <c r="AA78" s="258">
        <v>-3990834.71</v>
      </c>
      <c r="AB78" s="258"/>
    </row>
    <row r="79" spans="2:30" x14ac:dyDescent="0.25">
      <c r="G79" s="13"/>
    </row>
    <row r="80" spans="2:30" x14ac:dyDescent="0.25">
      <c r="B80" s="30" t="s">
        <v>230</v>
      </c>
      <c r="C80" s="30"/>
      <c r="D80" s="30"/>
      <c r="E80" s="30"/>
      <c r="F80" s="30"/>
      <c r="G80" s="92"/>
      <c r="H80" s="30"/>
      <c r="I80" s="30"/>
      <c r="J80" s="30"/>
      <c r="K80" s="30"/>
      <c r="L80" s="30"/>
      <c r="M80" s="30"/>
      <c r="N80" s="30"/>
      <c r="O80" s="30"/>
      <c r="P80" s="30"/>
      <c r="Q80" s="30"/>
      <c r="R80" s="30"/>
      <c r="S80" s="30"/>
      <c r="T80" s="30"/>
      <c r="U80" s="30"/>
      <c r="V80" s="30"/>
      <c r="W80" s="30"/>
      <c r="X80" s="30"/>
      <c r="Y80" s="30"/>
      <c r="Z80" s="30"/>
      <c r="AA80" s="30"/>
      <c r="AB80" s="30"/>
      <c r="AC80" s="30"/>
      <c r="AD80" s="30"/>
    </row>
    <row r="81" spans="1:8" x14ac:dyDescent="0.25">
      <c r="G81" s="13"/>
    </row>
    <row r="82" spans="1:8" x14ac:dyDescent="0.25">
      <c r="E82" t="s">
        <v>231</v>
      </c>
      <c r="G82" s="6" t="s">
        <v>54</v>
      </c>
      <c r="H82" s="24">
        <f t="array" ref="H82">SUM(IF(ISERROR(H13:AB79), 1))</f>
        <v>0</v>
      </c>
    </row>
    <row r="83" spans="1:8" x14ac:dyDescent="0.25">
      <c r="G83" s="13"/>
    </row>
    <row r="84" spans="1:8" x14ac:dyDescent="0.25">
      <c r="A84" s="332"/>
      <c r="E84" s="32" t="s">
        <v>1032</v>
      </c>
      <c r="G84" s="13"/>
    </row>
    <row r="85" spans="1:8" x14ac:dyDescent="0.25">
      <c r="A85" s="332"/>
      <c r="F85" s="23" t="s">
        <v>1033</v>
      </c>
      <c r="G85" s="85" t="s">
        <v>54</v>
      </c>
      <c r="H85" s="74">
        <f>IF( $N$15 = $Q$15, 0, 1 )</f>
        <v>0</v>
      </c>
    </row>
    <row r="86" spans="1:8" x14ac:dyDescent="0.25">
      <c r="A86" s="332"/>
      <c r="F86" t="s">
        <v>1034</v>
      </c>
      <c r="G86" s="13" t="s">
        <v>54</v>
      </c>
      <c r="H86" s="344">
        <f>IF( $O$15 = $R$15, 0, 1 )</f>
        <v>0</v>
      </c>
    </row>
    <row r="87" spans="1:8" x14ac:dyDescent="0.25">
      <c r="A87" s="332"/>
      <c r="F87" s="37" t="s">
        <v>1035</v>
      </c>
      <c r="G87" s="86" t="s">
        <v>54</v>
      </c>
      <c r="H87" s="75">
        <f>IF( $P$15 = $S$15, 0, 1 )</f>
        <v>0</v>
      </c>
    </row>
    <row r="88" spans="1:8" x14ac:dyDescent="0.25">
      <c r="A88" s="332"/>
    </row>
    <row r="89" spans="1:8" x14ac:dyDescent="0.25">
      <c r="A89" s="332"/>
      <c r="E89" s="32" t="s">
        <v>1036</v>
      </c>
      <c r="G89" s="13"/>
    </row>
    <row r="90" spans="1:8" x14ac:dyDescent="0.25">
      <c r="A90" s="332"/>
      <c r="F90" s="23" t="s">
        <v>1033</v>
      </c>
      <c r="G90" s="85" t="s">
        <v>54</v>
      </c>
      <c r="H90" s="74">
        <f>IF( $N$16 = $Q$16, 0, 1 )</f>
        <v>0</v>
      </c>
    </row>
    <row r="91" spans="1:8" x14ac:dyDescent="0.25">
      <c r="A91" s="332"/>
      <c r="F91" t="s">
        <v>1034</v>
      </c>
      <c r="G91" s="13" t="s">
        <v>54</v>
      </c>
      <c r="H91" s="344">
        <f>IF( $O$16 = $R$16, 0, 1 )</f>
        <v>0</v>
      </c>
    </row>
    <row r="92" spans="1:8" x14ac:dyDescent="0.25">
      <c r="A92" s="332"/>
      <c r="F92" s="37" t="s">
        <v>1035</v>
      </c>
      <c r="G92" s="86" t="s">
        <v>54</v>
      </c>
      <c r="H92" s="75">
        <f>IF( $P$16 = $S$16, 0, 1 )</f>
        <v>0</v>
      </c>
    </row>
    <row r="93" spans="1:8" x14ac:dyDescent="0.25">
      <c r="A93" s="332"/>
    </row>
    <row r="94" spans="1:8" x14ac:dyDescent="0.25">
      <c r="A94" s="332"/>
      <c r="E94" s="32" t="s">
        <v>1037</v>
      </c>
      <c r="G94" s="13"/>
    </row>
    <row r="95" spans="1:8" x14ac:dyDescent="0.25">
      <c r="A95" s="332"/>
      <c r="F95" s="23" t="s">
        <v>1033</v>
      </c>
      <c r="G95" s="85" t="s">
        <v>54</v>
      </c>
      <c r="H95" s="74">
        <f>IF( $N$53 = $Q$53, 0, 1 )</f>
        <v>0</v>
      </c>
    </row>
    <row r="96" spans="1:8" x14ac:dyDescent="0.25">
      <c r="A96" s="332"/>
      <c r="F96" t="s">
        <v>1034</v>
      </c>
      <c r="G96" s="13" t="s">
        <v>54</v>
      </c>
      <c r="H96" s="344">
        <f>IF( $O$53 = $R$53, 0, 1 )</f>
        <v>0</v>
      </c>
    </row>
    <row r="97" spans="1:30" x14ac:dyDescent="0.25">
      <c r="A97" s="332"/>
      <c r="F97" s="37" t="s">
        <v>1035</v>
      </c>
      <c r="G97" s="86" t="s">
        <v>54</v>
      </c>
      <c r="H97" s="75">
        <f>IF( $P$54 = $S$54, 0, 1 )</f>
        <v>0</v>
      </c>
    </row>
    <row r="98" spans="1:30" x14ac:dyDescent="0.25">
      <c r="A98" s="332"/>
    </row>
    <row r="99" spans="1:30" x14ac:dyDescent="0.25">
      <c r="E99" t="s">
        <v>238</v>
      </c>
      <c r="G99" s="6" t="s">
        <v>54</v>
      </c>
      <c r="H99" s="26">
        <f>SUM(H82, H85:H87,H90:H92,H95:H97)</f>
        <v>0</v>
      </c>
    </row>
    <row r="101" spans="1:30" x14ac:dyDescent="0.25">
      <c r="B101" s="30" t="s">
        <v>105</v>
      </c>
      <c r="C101" s="30"/>
      <c r="D101" s="30"/>
      <c r="E101" s="30"/>
      <c r="F101" s="30"/>
      <c r="G101" s="30"/>
      <c r="H101" s="30"/>
      <c r="I101" s="30"/>
      <c r="J101" s="30"/>
      <c r="K101" s="30"/>
      <c r="L101" s="30"/>
      <c r="M101" s="30"/>
      <c r="N101" s="30"/>
      <c r="O101" s="30"/>
      <c r="P101" s="30"/>
      <c r="Q101" s="30"/>
      <c r="R101" s="30"/>
      <c r="S101" s="30"/>
      <c r="T101" s="30"/>
      <c r="U101" s="30"/>
      <c r="V101" s="30"/>
      <c r="W101" s="30"/>
      <c r="X101" s="30"/>
      <c r="Y101" s="30"/>
      <c r="Z101" s="30"/>
      <c r="AA101" s="30"/>
      <c r="AB101" s="30"/>
      <c r="AC101" s="30"/>
      <c r="AD101" s="30"/>
    </row>
  </sheetData>
  <sheetProtection formatCells="0" formatColumns="0" formatRows="0" sort="0" autoFilter="0"/>
  <conditionalFormatting sqref="H82">
    <cfRule type="cellIs" dxfId="232" priority="121" operator="greaterThan">
      <formula>0</formula>
    </cfRule>
  </conditionalFormatting>
  <conditionalFormatting sqref="H99">
    <cfRule type="cellIs" dxfId="231" priority="99" operator="greaterThan">
      <formula>0</formula>
    </cfRule>
  </conditionalFormatting>
  <conditionalFormatting sqref="A4:I4 AC4:XFD4">
    <cfRule type="expression" dxfId="230" priority="98">
      <formula>LEFT($A$4,1) &lt;&gt; "0"</formula>
    </cfRule>
  </conditionalFormatting>
  <conditionalFormatting sqref="N4:S4">
    <cfRule type="expression" dxfId="229" priority="61">
      <formula>LEFT($A$4,1) &lt;&gt; "0"</formula>
    </cfRule>
  </conditionalFormatting>
  <conditionalFormatting sqref="L4:M4">
    <cfRule type="expression" dxfId="228" priority="57">
      <formula>LEFT($A$4,1) &lt;&gt; "0"</formula>
    </cfRule>
  </conditionalFormatting>
  <conditionalFormatting sqref="J4:K4">
    <cfRule type="expression" dxfId="227" priority="53">
      <formula>LEFT($A$4,1) &lt;&gt; "0"</formula>
    </cfRule>
  </conditionalFormatting>
  <conditionalFormatting sqref="T4">
    <cfRule type="expression" dxfId="226" priority="49">
      <formula>LEFT($A$4,1) &lt;&gt; "0"</formula>
    </cfRule>
  </conditionalFormatting>
  <conditionalFormatting sqref="U4:V4">
    <cfRule type="expression" dxfId="225" priority="48">
      <formula>LEFT($A$4,1) &lt;&gt; "0"</formula>
    </cfRule>
  </conditionalFormatting>
  <conditionalFormatting sqref="W4:X4">
    <cfRule type="expression" dxfId="224" priority="43">
      <formula>LEFT($A$4,1) &lt;&gt; "0"</formula>
    </cfRule>
  </conditionalFormatting>
  <conditionalFormatting sqref="Y4:Z4">
    <cfRule type="expression" dxfId="223" priority="38">
      <formula>LEFT($A$4,1) &lt;&gt; "0"</formula>
    </cfRule>
  </conditionalFormatting>
  <conditionalFormatting sqref="AA4:AB4">
    <cfRule type="expression" dxfId="222" priority="32">
      <formula>LEFT($A$4,1) &lt;&gt; "0"</formula>
    </cfRule>
  </conditionalFormatting>
  <conditionalFormatting sqref="AS84:AS87">
    <cfRule type="cellIs" dxfId="221" priority="31" operator="greaterThan">
      <formula>0</formula>
    </cfRule>
  </conditionalFormatting>
  <conditionalFormatting sqref="AR84:AR87">
    <cfRule type="cellIs" dxfId="220" priority="30" operator="greaterThan">
      <formula>0</formula>
    </cfRule>
  </conditionalFormatting>
  <conditionalFormatting sqref="AN84:AO87">
    <cfRule type="cellIs" dxfId="219" priority="29" operator="greaterThan">
      <formula>0</formula>
    </cfRule>
  </conditionalFormatting>
  <conditionalFormatting sqref="AJ84:AK87">
    <cfRule type="cellIs" dxfId="218" priority="28" operator="greaterThan">
      <formula>0</formula>
    </cfRule>
  </conditionalFormatting>
  <conditionalFormatting sqref="S84:W87">
    <cfRule type="cellIs" dxfId="217" priority="26" operator="greaterThan">
      <formula>0</formula>
    </cfRule>
  </conditionalFormatting>
  <conditionalFormatting sqref="AE84:AE87">
    <cfRule type="cellIs" dxfId="216" priority="27" operator="greaterThan">
      <formula>0</formula>
    </cfRule>
  </conditionalFormatting>
  <conditionalFormatting sqref="X84:Z87">
    <cfRule type="cellIs" dxfId="215" priority="25" operator="greaterThan">
      <formula>0</formula>
    </cfRule>
  </conditionalFormatting>
  <conditionalFormatting sqref="AS88:AS92">
    <cfRule type="cellIs" dxfId="214" priority="23" operator="greaterThan">
      <formula>0</formula>
    </cfRule>
  </conditionalFormatting>
  <conditionalFormatting sqref="AR88:AR92">
    <cfRule type="cellIs" dxfId="213" priority="22" operator="greaterThan">
      <formula>0</formula>
    </cfRule>
  </conditionalFormatting>
  <conditionalFormatting sqref="AN88:AO92">
    <cfRule type="cellIs" dxfId="212" priority="21" operator="greaterThan">
      <formula>0</formula>
    </cfRule>
  </conditionalFormatting>
  <conditionalFormatting sqref="AJ88:AK92">
    <cfRule type="cellIs" dxfId="211" priority="20" operator="greaterThan">
      <formula>0</formula>
    </cfRule>
  </conditionalFormatting>
  <conditionalFormatting sqref="S88:W92">
    <cfRule type="cellIs" dxfId="210" priority="18" operator="greaterThan">
      <formula>0</formula>
    </cfRule>
  </conditionalFormatting>
  <conditionalFormatting sqref="AE88:AE92">
    <cfRule type="cellIs" dxfId="209" priority="19" operator="greaterThan">
      <formula>0</formula>
    </cfRule>
  </conditionalFormatting>
  <conditionalFormatting sqref="X88:Z92">
    <cfRule type="cellIs" dxfId="208" priority="17" operator="greaterThan">
      <formula>0</formula>
    </cfRule>
  </conditionalFormatting>
  <conditionalFormatting sqref="X93:Z97">
    <cfRule type="cellIs" dxfId="207" priority="7" operator="greaterThan">
      <formula>0</formula>
    </cfRule>
  </conditionalFormatting>
  <conditionalFormatting sqref="AS93:AS97">
    <cfRule type="cellIs" dxfId="206" priority="13" operator="greaterThan">
      <formula>0</formula>
    </cfRule>
  </conditionalFormatting>
  <conditionalFormatting sqref="AR93:AR97">
    <cfRule type="cellIs" dxfId="205" priority="12" operator="greaterThan">
      <formula>0</formula>
    </cfRule>
  </conditionalFormatting>
  <conditionalFormatting sqref="AN93:AO97">
    <cfRule type="cellIs" dxfId="204" priority="11" operator="greaterThan">
      <formula>0</formula>
    </cfRule>
  </conditionalFormatting>
  <conditionalFormatting sqref="AJ93:AK97">
    <cfRule type="cellIs" dxfId="203" priority="10" operator="greaterThan">
      <formula>0</formula>
    </cfRule>
  </conditionalFormatting>
  <conditionalFormatting sqref="S93:W97">
    <cfRule type="cellIs" dxfId="202" priority="8" operator="greaterThan">
      <formula>0</formula>
    </cfRule>
  </conditionalFormatting>
  <conditionalFormatting sqref="AE93:AE97">
    <cfRule type="cellIs" dxfId="201" priority="9" operator="greaterThan">
      <formula>0</formula>
    </cfRule>
  </conditionalFormatting>
  <conditionalFormatting sqref="H88">
    <cfRule type="cellIs" dxfId="200" priority="5" operator="greaterThan">
      <formula>0</formula>
    </cfRule>
  </conditionalFormatting>
  <conditionalFormatting sqref="H85:H87">
    <cfRule type="cellIs" dxfId="199" priority="4" operator="greaterThan">
      <formula>0</formula>
    </cfRule>
  </conditionalFormatting>
  <conditionalFormatting sqref="H90:H92">
    <cfRule type="cellIs" dxfId="198" priority="3" operator="greaterThan">
      <formula>0</formula>
    </cfRule>
  </conditionalFormatting>
  <conditionalFormatting sqref="H93">
    <cfRule type="cellIs" dxfId="197" priority="2" operator="greaterThan">
      <formula>0</formula>
    </cfRule>
  </conditionalFormatting>
  <conditionalFormatting sqref="H95:H97">
    <cfRule type="cellIs" dxfId="196" priority="1" operator="greaterThan">
      <formula>0</formula>
    </cfRule>
  </conditionalFormatting>
  <dataValidations count="6">
    <dataValidation type="decimal" allowBlank="1" showInputMessage="1" showErrorMessage="1" errorTitle="Invalid coincidence factor" error="Invalid coincidence factor (unused cell or not between 0% and 100%)." sqref="U15:AB16 J16:T16" xr:uid="{00000000-0002-0000-0600-000000000000}">
      <formula1>0</formula1>
      <formula2>1</formula2>
    </dataValidation>
    <dataValidation type="textLength" operator="equal" allowBlank="1" showInputMessage="1" showErrorMessage="1" error="This cell is not in use." sqref="AB51 AB73 AB59 AB56:AB57" xr:uid="{00000000-0002-0000-0600-000001000000}">
      <formula1>0</formula1>
    </dataValidation>
    <dataValidation type="decimal" operator="greaterThanOrEqual" allowBlank="1" showInputMessage="1" showErrorMessage="1" errorTitle="Invalid volume data" error="Invalid volume data (negative number or unused cell)." sqref="J53:AB54 Q34:AB45 O34:P38 J51:AB51 J59:AB59 J73:AB73 X30:AB30 T21:AB29 J21:N38 J56:AB57 O21:S30 T30:U33 W30:W33 V30 J39:P45 M67 K67" xr:uid="{00000000-0002-0000-0600-000002000000}">
      <formula1>0</formula1>
    </dataValidation>
    <dataValidation allowBlank="1" sqref="J64:J70 N64:AB70 K68:K70 K64:K66 L64:L70 M68:M70 M64:M66 J78:AB78" xr:uid="{00000000-0002-0000-0600-000003000000}"/>
    <dataValidation type="decimal" operator="greaterThanOrEqual" allowBlank="1" showInputMessage="1" showErrorMessage="1" sqref="AB15:AB20 AB25:AB45" xr:uid="{00000000-0002-0000-0600-000004000000}">
      <formula1>0</formula1>
    </dataValidation>
    <dataValidation type="decimal" allowBlank="1" showInputMessage="1" showErrorMessage="1" errorTitle="Invalid load factor" error="The load factor must be between 0% and 100%." sqref="J15:T15" xr:uid="{00000000-0002-0000-0600-000005000000}">
      <formula1>0</formula1>
      <formula2>1</formula2>
    </dataValidation>
  </dataValidations>
  <hyperlinks>
    <hyperlink ref="B5:F5" location="'Model map'!A1" display="Click here to return to model map" xr:uid="{00000000-0004-0000-0600-000000000000}"/>
  </hyperlinks>
  <pageMargins left="0.7" right="0.7" top="0.75" bottom="0.75" header="0.3" footer="0.3"/>
  <pageSetup paperSize="9" fitToHeight="0" orientation="portrait" r:id="rId1"/>
  <headerFooter>
    <oddHeader>&amp;L&amp;A&amp;C&amp;R&amp;P of &amp;N</oddHeader>
    <oddFooter>&amp;F</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1">
    <tabColor theme="5" tint="0.59999389629810485"/>
    <pageSetUpPr fitToPage="1"/>
  </sheetPr>
  <dimension ref="A1:IV69"/>
  <sheetViews>
    <sheetView showGridLines="0" zoomScale="80" zoomScaleNormal="80" workbookViewId="0">
      <pane xSplit="9" ySplit="5" topLeftCell="J6" activePane="bottomRight" state="frozen"/>
      <selection pane="topRight"/>
      <selection pane="bottomLeft"/>
      <selection pane="bottomRight" activeCell="K40" sqref="K40:S43"/>
    </sheetView>
  </sheetViews>
  <sheetFormatPr defaultColWidth="0" defaultRowHeight="15" x14ac:dyDescent="0.25"/>
  <cols>
    <col min="1" max="5" width="2.5703125" customWidth="1"/>
    <col min="6" max="6" width="59.5703125" customWidth="1"/>
    <col min="7" max="8" width="20.5703125" customWidth="1"/>
    <col min="9" max="9" width="2.42578125" customWidth="1"/>
    <col min="10" max="19" width="17" customWidth="1"/>
    <col min="20" max="20" width="2.42578125" customWidth="1"/>
    <col min="21" max="21" width="50.5703125" customWidth="1"/>
    <col min="22" max="22" width="2.42578125" customWidth="1"/>
    <col min="23" max="27" width="20.5703125" hidden="1" customWidth="1"/>
    <col min="28" max="28" width="2.5703125" hidden="1" customWidth="1"/>
    <col min="29" max="256" width="20.5703125" hidden="1" customWidth="1"/>
    <col min="257" max="16384" width="9.28515625" hidden="1"/>
  </cols>
  <sheetData>
    <row r="1" spans="1:27" s="1" customFormat="1" x14ac:dyDescent="0.25">
      <c r="A1" s="1" t="str">
        <f ca="1">MID(CELL("filename",A1),FIND("]",CELL("filename",A1))+1,255)</f>
        <v>Inputs by network level</v>
      </c>
    </row>
    <row r="2" spans="1:27" s="1" customFormat="1" x14ac:dyDescent="0.25">
      <c r="A2" s="1" t="str">
        <f>Cover!D21&amp;" - "&amp;Cover!D23</f>
        <v>SP Distribution - Two</v>
      </c>
    </row>
    <row r="3" spans="1:27" s="5" customFormat="1" x14ac:dyDescent="0.25">
      <c r="A3" s="5" t="str">
        <f>Cover!D2&amp;" - "&amp;Cover!D8&amp;" v"&amp;Cover!D10&amp;" - "&amp;Cover!D19</f>
        <v>CDCM charging model - Release for charge setting v6 - 2021/22</v>
      </c>
    </row>
    <row r="4" spans="1:27" x14ac:dyDescent="0.25">
      <c r="A4" s="12" t="str">
        <f>H56 &amp; IF(H56 = 1, " issue", " issues") &amp;" identified in checks on this sheet"</f>
        <v>0 issues identified in checks on this sheet</v>
      </c>
      <c r="B4" s="13"/>
      <c r="C4" s="13"/>
      <c r="D4" s="13"/>
      <c r="E4" s="13"/>
      <c r="F4" s="13"/>
      <c r="G4" s="13"/>
      <c r="H4" s="14"/>
      <c r="I4" s="14"/>
      <c r="J4" s="13"/>
    </row>
    <row r="5" spans="1:27" x14ac:dyDescent="0.25">
      <c r="B5" s="59" t="s">
        <v>141</v>
      </c>
      <c r="C5" s="60"/>
      <c r="D5" s="60"/>
      <c r="E5" s="60"/>
      <c r="F5" s="60"/>
      <c r="G5" s="1" t="s">
        <v>142</v>
      </c>
      <c r="H5" s="93" t="s">
        <v>143</v>
      </c>
      <c r="I5" s="14"/>
      <c r="J5" s="93" t="s">
        <v>188</v>
      </c>
      <c r="K5" s="93" t="s">
        <v>190</v>
      </c>
      <c r="L5" s="93" t="s">
        <v>191</v>
      </c>
      <c r="M5" s="93" t="s">
        <v>192</v>
      </c>
      <c r="N5" s="93" t="s">
        <v>193</v>
      </c>
      <c r="O5" s="93" t="s">
        <v>194</v>
      </c>
      <c r="P5" s="93" t="s">
        <v>195</v>
      </c>
      <c r="Q5" s="93" t="s">
        <v>196</v>
      </c>
      <c r="R5" s="93" t="s">
        <v>197</v>
      </c>
      <c r="S5" s="93" t="s">
        <v>198</v>
      </c>
      <c r="U5" s="61" t="s">
        <v>144</v>
      </c>
    </row>
    <row r="7" spans="1:27" x14ac:dyDescent="0.25">
      <c r="B7" s="30" t="s">
        <v>9</v>
      </c>
      <c r="C7" s="30"/>
      <c r="D7" s="30"/>
      <c r="E7" s="30"/>
      <c r="F7" s="30"/>
      <c r="G7" s="30"/>
      <c r="H7" s="30"/>
      <c r="I7" s="30"/>
      <c r="J7" s="30"/>
      <c r="K7" s="30"/>
      <c r="L7" s="30"/>
      <c r="M7" s="30"/>
      <c r="N7" s="30"/>
      <c r="O7" s="30"/>
      <c r="P7" s="30"/>
      <c r="Q7" s="30"/>
      <c r="R7" s="30"/>
      <c r="S7" s="30"/>
      <c r="T7" s="30"/>
      <c r="U7" s="30"/>
      <c r="W7" s="30"/>
      <c r="X7" s="30"/>
      <c r="Y7" s="30"/>
      <c r="Z7" s="30"/>
      <c r="AA7" s="30"/>
    </row>
    <row r="9" spans="1:27" x14ac:dyDescent="0.25">
      <c r="C9" s="29" t="s">
        <v>277</v>
      </c>
    </row>
    <row r="11" spans="1:27" x14ac:dyDescent="0.25">
      <c r="B11" s="30" t="s">
        <v>57</v>
      </c>
      <c r="C11" s="30"/>
      <c r="D11" s="30"/>
      <c r="E11" s="30"/>
      <c r="F11" s="30"/>
      <c r="G11" s="30"/>
      <c r="H11" s="30"/>
      <c r="I11" s="30"/>
      <c r="J11" s="30"/>
      <c r="K11" s="30"/>
      <c r="L11" s="30"/>
      <c r="M11" s="30"/>
      <c r="N11" s="30"/>
      <c r="O11" s="30"/>
      <c r="P11" s="30"/>
      <c r="Q11" s="30"/>
      <c r="R11" s="30"/>
      <c r="S11" s="30"/>
      <c r="T11" s="30"/>
      <c r="U11" s="30"/>
      <c r="W11" s="30"/>
      <c r="X11" s="30"/>
      <c r="Y11" s="30"/>
      <c r="Z11" s="30"/>
      <c r="AA11" s="30"/>
    </row>
    <row r="13" spans="1:27" x14ac:dyDescent="0.25">
      <c r="C13" s="31" t="str">
        <f ca="1">INDEX('Version control'!$H$34:$H$57,MATCH($A$1,'Version control'!$F$34:$F$57,0),1)&amp;"-A: Network and load inputs"</f>
        <v>Input 103-A: Network and load inputs</v>
      </c>
      <c r="D13" s="31"/>
      <c r="E13" s="31"/>
      <c r="F13" s="31"/>
      <c r="G13" s="31"/>
      <c r="H13" s="31"/>
      <c r="I13" s="31"/>
      <c r="J13" s="31"/>
      <c r="K13" s="31"/>
      <c r="L13" s="31"/>
      <c r="M13" s="31"/>
      <c r="N13" s="31"/>
      <c r="O13" s="31"/>
      <c r="P13" s="31"/>
      <c r="Q13" s="31"/>
      <c r="R13" s="31"/>
      <c r="S13" s="31"/>
      <c r="T13" s="31"/>
      <c r="U13" s="31"/>
      <c r="W13" s="30"/>
      <c r="X13" s="30"/>
      <c r="Y13" s="30"/>
      <c r="Z13" s="30"/>
      <c r="AA13" s="30"/>
    </row>
    <row r="15" spans="1:27" x14ac:dyDescent="0.25">
      <c r="E15" s="28" t="s">
        <v>278</v>
      </c>
      <c r="G15" s="28" t="s">
        <v>166</v>
      </c>
      <c r="I15" t="s">
        <v>153</v>
      </c>
      <c r="J15" s="94"/>
      <c r="K15" s="262">
        <v>0.11600000000000001</v>
      </c>
      <c r="L15" s="262"/>
      <c r="M15" s="94"/>
      <c r="N15" s="262">
        <v>0.13</v>
      </c>
      <c r="O15" s="94"/>
      <c r="P15" s="77"/>
      <c r="Q15" s="262">
        <v>0.25</v>
      </c>
      <c r="R15" s="66"/>
      <c r="S15" s="66"/>
      <c r="U15" s="63" t="s">
        <v>279</v>
      </c>
    </row>
    <row r="17" spans="3:27" x14ac:dyDescent="0.25">
      <c r="E17" s="28" t="s">
        <v>280</v>
      </c>
      <c r="G17" s="28" t="s">
        <v>166</v>
      </c>
      <c r="H17" s="28"/>
      <c r="I17" s="95"/>
      <c r="J17" s="94"/>
      <c r="K17" s="66"/>
      <c r="L17" s="66"/>
      <c r="M17" s="66"/>
      <c r="N17" s="66"/>
      <c r="O17" s="66"/>
      <c r="P17" s="262">
        <v>0</v>
      </c>
      <c r="Q17" s="66"/>
      <c r="R17" s="66"/>
      <c r="S17" s="66"/>
    </row>
    <row r="19" spans="3:27" x14ac:dyDescent="0.25">
      <c r="E19" s="28" t="s">
        <v>281</v>
      </c>
      <c r="G19" s="28" t="s">
        <v>282</v>
      </c>
      <c r="I19" t="s">
        <v>153</v>
      </c>
      <c r="J19" s="79"/>
      <c r="K19" s="273">
        <v>1</v>
      </c>
      <c r="L19" s="273">
        <v>1</v>
      </c>
      <c r="M19" s="273">
        <v>1</v>
      </c>
      <c r="N19" s="273">
        <v>1.004</v>
      </c>
      <c r="O19" s="273">
        <v>1.0129999999999999</v>
      </c>
      <c r="P19" s="272"/>
      <c r="Q19" s="273">
        <v>1.026</v>
      </c>
      <c r="R19" s="273">
        <v>1.044</v>
      </c>
      <c r="S19" s="273">
        <v>1.0980000000000001</v>
      </c>
      <c r="U19" s="63" t="s">
        <v>283</v>
      </c>
    </row>
    <row r="20" spans="3:27" x14ac:dyDescent="0.25">
      <c r="J20" s="89"/>
      <c r="K20" s="89"/>
      <c r="L20" s="89"/>
      <c r="M20" s="89"/>
      <c r="N20" s="89"/>
      <c r="O20" s="89"/>
      <c r="P20" s="89"/>
      <c r="Q20" s="89"/>
      <c r="R20" s="89"/>
      <c r="S20" s="89"/>
    </row>
    <row r="21" spans="3:27" x14ac:dyDescent="0.25">
      <c r="E21" s="28" t="s">
        <v>284</v>
      </c>
      <c r="G21" s="28" t="s">
        <v>285</v>
      </c>
      <c r="I21" t="s">
        <v>153</v>
      </c>
      <c r="J21" s="79"/>
      <c r="K21" s="273">
        <v>0.26509994640061324</v>
      </c>
      <c r="L21" s="273">
        <v>0</v>
      </c>
      <c r="M21" s="273">
        <v>0</v>
      </c>
      <c r="N21" s="273">
        <v>0.26509994640061324</v>
      </c>
      <c r="O21" s="273">
        <v>0.21690566590786087</v>
      </c>
      <c r="P21" s="273">
        <v>0</v>
      </c>
      <c r="Q21" s="273">
        <v>0.21690566590786087</v>
      </c>
      <c r="R21" s="273">
        <v>0.21690566590786087</v>
      </c>
      <c r="S21" s="273">
        <v>0.21690566590786087</v>
      </c>
      <c r="U21" s="63" t="s">
        <v>286</v>
      </c>
    </row>
    <row r="23" spans="3:27" x14ac:dyDescent="0.25">
      <c r="C23" s="31" t="str">
        <f ca="1">INDEX('Version control'!$H$34:$H$57,MATCH($A$1,'Version control'!$F$34:$F$57,0),1)&amp;"-B: Customer contributions under current connection charging policy"</f>
        <v>Input 103-B: Customer contributions under current connection charging policy</v>
      </c>
      <c r="D23" s="31"/>
      <c r="E23" s="31"/>
      <c r="F23" s="31"/>
      <c r="G23" s="31"/>
      <c r="H23" s="31"/>
      <c r="I23" s="31"/>
      <c r="J23" s="31"/>
      <c r="K23" s="31"/>
      <c r="L23" s="31"/>
      <c r="M23" s="31"/>
      <c r="N23" s="31"/>
      <c r="O23" s="31"/>
      <c r="P23" s="31"/>
      <c r="Q23" s="31"/>
      <c r="R23" s="31"/>
      <c r="S23" s="31"/>
      <c r="T23" s="31"/>
      <c r="U23" s="31"/>
      <c r="W23" s="30"/>
      <c r="X23" s="30"/>
      <c r="Y23" s="30"/>
      <c r="Z23" s="30"/>
      <c r="AA23" s="30"/>
    </row>
    <row r="24" spans="3:27" x14ac:dyDescent="0.25">
      <c r="C24" s="32"/>
      <c r="I24" t="s">
        <v>153</v>
      </c>
      <c r="U24" t="s">
        <v>287</v>
      </c>
    </row>
    <row r="25" spans="3:27" x14ac:dyDescent="0.25">
      <c r="C25" s="32"/>
      <c r="E25" s="32" t="s">
        <v>288</v>
      </c>
    </row>
    <row r="26" spans="3:27" x14ac:dyDescent="0.25">
      <c r="F26" s="64" t="s">
        <v>185</v>
      </c>
      <c r="G26" s="64" t="s">
        <v>166</v>
      </c>
      <c r="H26" s="23"/>
      <c r="I26" s="23"/>
      <c r="J26" s="65"/>
      <c r="K26" s="65"/>
      <c r="L26" s="260"/>
      <c r="M26" s="260"/>
      <c r="N26" s="260"/>
      <c r="O26" s="260"/>
      <c r="P26" s="260"/>
      <c r="Q26" s="260">
        <v>0.20065197841726601</v>
      </c>
      <c r="R26" s="260">
        <v>0.26968503937007898</v>
      </c>
      <c r="S26" s="260">
        <v>0.92371773930088197</v>
      </c>
    </row>
    <row r="27" spans="3:27" x14ac:dyDescent="0.25">
      <c r="F27" s="28" t="s">
        <v>184</v>
      </c>
      <c r="G27" s="28" t="s">
        <v>166</v>
      </c>
      <c r="J27" s="66"/>
      <c r="K27" s="66"/>
      <c r="L27" s="256"/>
      <c r="M27" s="256"/>
      <c r="N27" s="256"/>
      <c r="O27" s="256"/>
      <c r="P27" s="256"/>
      <c r="Q27" s="256">
        <v>0.20065197841726601</v>
      </c>
      <c r="R27" s="256">
        <v>0.26968503937007898</v>
      </c>
      <c r="S27" s="70"/>
    </row>
    <row r="28" spans="3:27" x14ac:dyDescent="0.25">
      <c r="F28" s="28" t="s">
        <v>183</v>
      </c>
      <c r="G28" s="28" t="s">
        <v>166</v>
      </c>
      <c r="J28" s="66"/>
      <c r="K28" s="66"/>
      <c r="L28" s="256"/>
      <c r="M28" s="256"/>
      <c r="N28" s="256">
        <v>3.11004784688995E-2</v>
      </c>
      <c r="O28" s="256">
        <v>0.14212259371833799</v>
      </c>
      <c r="P28" s="256"/>
      <c r="Q28" s="256">
        <v>0.45146695143884902</v>
      </c>
      <c r="R28" s="70"/>
      <c r="S28" s="70"/>
    </row>
    <row r="29" spans="3:27" x14ac:dyDescent="0.25">
      <c r="F29" s="67" t="s">
        <v>182</v>
      </c>
      <c r="G29" s="67" t="s">
        <v>166</v>
      </c>
      <c r="H29" s="37"/>
      <c r="I29" s="37"/>
      <c r="J29" s="68"/>
      <c r="K29" s="68"/>
      <c r="L29" s="261"/>
      <c r="M29" s="261"/>
      <c r="N29" s="261">
        <v>3.11004784688995E-2</v>
      </c>
      <c r="O29" s="261">
        <v>0.14212259371833799</v>
      </c>
      <c r="P29" s="71"/>
      <c r="Q29" s="71"/>
      <c r="R29" s="71"/>
      <c r="S29" s="71"/>
    </row>
    <row r="31" spans="3:27" x14ac:dyDescent="0.25">
      <c r="C31" s="31" t="str">
        <f ca="1">INDEX('Version control'!$H$34:$H$57,MATCH($A$1,'Version control'!$F$34:$F$57,0),1)&amp;"-C: DRM asset costs"</f>
        <v>Input 103-C: DRM asset costs</v>
      </c>
      <c r="D31" s="31"/>
      <c r="E31" s="31"/>
      <c r="F31" s="31"/>
      <c r="G31" s="31"/>
      <c r="H31" s="31"/>
      <c r="I31" s="31"/>
      <c r="J31" s="31"/>
      <c r="K31" s="31"/>
      <c r="L31" s="31"/>
      <c r="M31" s="31"/>
      <c r="N31" s="31"/>
      <c r="O31" s="31"/>
      <c r="P31" s="31"/>
      <c r="Q31" s="31"/>
      <c r="R31" s="31"/>
      <c r="S31" s="31"/>
      <c r="T31" s="31"/>
      <c r="U31" s="31"/>
      <c r="W31" s="30"/>
      <c r="X31" s="30"/>
      <c r="Y31" s="30"/>
      <c r="Z31" s="30"/>
      <c r="AA31" s="30"/>
    </row>
    <row r="33" spans="2:27" x14ac:dyDescent="0.25">
      <c r="E33" s="28" t="s">
        <v>289</v>
      </c>
      <c r="G33" s="28" t="s">
        <v>276</v>
      </c>
      <c r="I33" t="s">
        <v>153</v>
      </c>
      <c r="J33" s="79"/>
      <c r="K33" s="79"/>
      <c r="L33" s="258">
        <v>0</v>
      </c>
      <c r="M33" s="258">
        <v>0</v>
      </c>
      <c r="N33" s="258">
        <v>115483848.7018043</v>
      </c>
      <c r="O33" s="258">
        <v>29592148.796136998</v>
      </c>
      <c r="P33" s="258">
        <v>0</v>
      </c>
      <c r="Q33" s="258">
        <v>127306253.13245735</v>
      </c>
      <c r="R33" s="258">
        <v>31995666.142905347</v>
      </c>
      <c r="S33" s="258">
        <v>53817722.025625169</v>
      </c>
    </row>
    <row r="35" spans="2:27" x14ac:dyDescent="0.25">
      <c r="C35" s="31" t="str">
        <f ca="1">INDEX('Version control'!$H$34:$H$57,MATCH($A$1,'Version control'!$F$34:$F$57,0),1)&amp;"-D: Peaking probabilities by network level"</f>
        <v>Input 103-D: Peaking probabilities by network level</v>
      </c>
      <c r="D35" s="31"/>
      <c r="E35" s="31"/>
      <c r="F35" s="31"/>
      <c r="G35" s="31"/>
      <c r="H35" s="31"/>
      <c r="I35" s="31"/>
      <c r="J35" s="31"/>
      <c r="K35" s="31"/>
      <c r="L35" s="31"/>
      <c r="M35" s="31"/>
      <c r="N35" s="31"/>
      <c r="O35" s="31"/>
      <c r="P35" s="31"/>
      <c r="Q35" s="31"/>
      <c r="R35" s="31"/>
      <c r="S35" s="31"/>
      <c r="T35" s="31"/>
      <c r="U35" s="31"/>
      <c r="W35" s="30"/>
      <c r="X35" s="30"/>
      <c r="Y35" s="30"/>
      <c r="Z35" s="30"/>
      <c r="AA35" s="30"/>
    </row>
    <row r="37" spans="2:27" x14ac:dyDescent="0.25">
      <c r="D37" s="29" t="s">
        <v>290</v>
      </c>
    </row>
    <row r="38" spans="2:27" x14ac:dyDescent="0.25">
      <c r="C38" s="29"/>
    </row>
    <row r="39" spans="2:27" x14ac:dyDescent="0.25">
      <c r="D39" s="32"/>
      <c r="E39" s="32" t="s">
        <v>291</v>
      </c>
      <c r="I39" t="s">
        <v>153</v>
      </c>
      <c r="U39" t="s">
        <v>292</v>
      </c>
    </row>
    <row r="40" spans="2:27" x14ac:dyDescent="0.25">
      <c r="F40" s="23" t="s">
        <v>293</v>
      </c>
      <c r="G40" s="78" t="s">
        <v>166</v>
      </c>
      <c r="H40" s="23"/>
      <c r="I40" s="23"/>
      <c r="J40" s="65"/>
      <c r="K40" s="346">
        <v>0.73685290844250551</v>
      </c>
      <c r="L40" s="260"/>
      <c r="M40" s="260"/>
      <c r="N40" s="346">
        <v>0.73685290844250551</v>
      </c>
      <c r="O40" s="346">
        <v>0.64549570804091005</v>
      </c>
      <c r="P40" s="346"/>
      <c r="Q40" s="346">
        <v>0.64549570804091005</v>
      </c>
      <c r="R40" s="346">
        <v>0.64549570804091005</v>
      </c>
      <c r="S40" s="346">
        <v>0.64549570804091005</v>
      </c>
    </row>
    <row r="41" spans="2:27" x14ac:dyDescent="0.25">
      <c r="F41" t="s">
        <v>294</v>
      </c>
      <c r="G41" s="72" t="s">
        <v>166</v>
      </c>
      <c r="J41" s="66"/>
      <c r="K41" s="347">
        <v>0.25763649230764868</v>
      </c>
      <c r="L41" s="256"/>
      <c r="M41" s="256"/>
      <c r="N41" s="347">
        <v>0.25763649230764868</v>
      </c>
      <c r="O41" s="347">
        <v>0.33912381234136874</v>
      </c>
      <c r="P41" s="347"/>
      <c r="Q41" s="347">
        <v>0.33912381234136874</v>
      </c>
      <c r="R41" s="347">
        <v>0.33912381234136874</v>
      </c>
      <c r="S41" s="347">
        <v>0.33912381234136874</v>
      </c>
    </row>
    <row r="42" spans="2:27" x14ac:dyDescent="0.25">
      <c r="F42" s="37" t="s">
        <v>256</v>
      </c>
      <c r="G42" s="80" t="s">
        <v>166</v>
      </c>
      <c r="H42" s="37"/>
      <c r="I42" s="37"/>
      <c r="J42" s="68"/>
      <c r="K42" s="348">
        <v>5.5105992498457714E-3</v>
      </c>
      <c r="L42" s="261"/>
      <c r="M42" s="261"/>
      <c r="N42" s="348">
        <v>5.5105992498457714E-3</v>
      </c>
      <c r="O42" s="348">
        <v>1.5380479617721122E-2</v>
      </c>
      <c r="P42" s="348"/>
      <c r="Q42" s="348">
        <v>1.5380479617721122E-2</v>
      </c>
      <c r="R42" s="348">
        <v>1.5380479617721122E-2</v>
      </c>
      <c r="S42" s="348">
        <v>1.5380479617721122E-2</v>
      </c>
    </row>
    <row r="43" spans="2:27" x14ac:dyDescent="0.25">
      <c r="F43" s="37" t="s">
        <v>295</v>
      </c>
      <c r="G43" s="80" t="s">
        <v>166</v>
      </c>
      <c r="H43" s="37"/>
      <c r="I43" s="37"/>
      <c r="J43" s="68"/>
      <c r="K43" s="348">
        <v>0.67055113994438198</v>
      </c>
      <c r="L43" s="261"/>
      <c r="M43" s="261"/>
      <c r="N43" s="348">
        <v>0.67055113994438198</v>
      </c>
      <c r="O43" s="348">
        <v>0.60511449175300125</v>
      </c>
      <c r="P43" s="348"/>
      <c r="Q43" s="348">
        <v>0.60511449175300125</v>
      </c>
      <c r="R43" s="348">
        <v>0.60511449175300125</v>
      </c>
      <c r="S43" s="348">
        <v>0.60511449175300125</v>
      </c>
    </row>
    <row r="45" spans="2:27" x14ac:dyDescent="0.25">
      <c r="B45" s="30" t="s">
        <v>230</v>
      </c>
      <c r="C45" s="30"/>
      <c r="D45" s="30"/>
      <c r="E45" s="30"/>
      <c r="F45" s="30"/>
      <c r="G45" s="30"/>
      <c r="H45" s="30"/>
      <c r="I45" s="30"/>
      <c r="J45" s="30"/>
      <c r="K45" s="30"/>
      <c r="L45" s="30"/>
      <c r="M45" s="30"/>
      <c r="N45" s="30"/>
      <c r="O45" s="30"/>
      <c r="P45" s="30"/>
      <c r="Q45" s="30"/>
      <c r="R45" s="30"/>
      <c r="S45" s="30"/>
      <c r="T45" s="30"/>
      <c r="U45" s="30"/>
      <c r="W45" s="30"/>
      <c r="X45" s="30"/>
      <c r="Y45" s="30"/>
      <c r="Z45" s="30"/>
      <c r="AA45" s="30"/>
    </row>
    <row r="47" spans="2:27" x14ac:dyDescent="0.25">
      <c r="E47" t="s">
        <v>231</v>
      </c>
      <c r="G47" s="6" t="s">
        <v>54</v>
      </c>
      <c r="H47" s="24">
        <f t="array" ref="H47">SUM(IF(ISERROR(H15:AA44), 1))</f>
        <v>0</v>
      </c>
    </row>
    <row r="49" spans="2:27" x14ac:dyDescent="0.25">
      <c r="E49" t="s">
        <v>296</v>
      </c>
      <c r="G49" s="6" t="s">
        <v>54</v>
      </c>
      <c r="H49" s="24">
        <f>IF(K19 = 1, 0, 1)</f>
        <v>0</v>
      </c>
    </row>
    <row r="51" spans="2:27" x14ac:dyDescent="0.25">
      <c r="E51" s="32" t="s">
        <v>297</v>
      </c>
    </row>
    <row r="52" spans="2:27" x14ac:dyDescent="0.25">
      <c r="E52" s="29" t="s">
        <v>298</v>
      </c>
    </row>
    <row r="53" spans="2:27" x14ac:dyDescent="0.25">
      <c r="F53" s="23" t="s">
        <v>299</v>
      </c>
      <c r="G53" s="73" t="s">
        <v>54</v>
      </c>
      <c r="H53" s="74">
        <f>SUM(K53:S53)</f>
        <v>0</v>
      </c>
      <c r="I53" s="23"/>
      <c r="J53" s="65"/>
      <c r="K53" s="74">
        <f>IF(ABS(SUM(K40:K42) - 1) &lt; 10^-check_decimals, 0, 1)</f>
        <v>0</v>
      </c>
      <c r="L53" s="65"/>
      <c r="M53" s="65"/>
      <c r="N53" s="74">
        <f>IF(ABS(SUM(N40:N42) - 1) &lt; 10^-check_decimals, 0, 1)</f>
        <v>0</v>
      </c>
      <c r="O53" s="74">
        <f>IF(ABS(SUM(O40:O42) - 1) &lt; 10^-check_decimals, 0, 1)</f>
        <v>0</v>
      </c>
      <c r="P53" s="65"/>
      <c r="Q53" s="74">
        <f>IF(ABS(SUM(Q40:Q42) - 1) &lt; 10^-check_decimals, 0, 1)</f>
        <v>0</v>
      </c>
      <c r="R53" s="74">
        <f>IF(ABS(SUM(R40:R42) - 1) &lt; 10^-check_decimals, 0, 1)</f>
        <v>0</v>
      </c>
      <c r="S53" s="74">
        <f>IF(ABS(SUM(S40:S42) - 1) &lt; 10^-check_decimals, 0, 1)</f>
        <v>0</v>
      </c>
    </row>
    <row r="54" spans="2:27" x14ac:dyDescent="0.25">
      <c r="F54" s="37" t="s">
        <v>191</v>
      </c>
      <c r="G54" s="50" t="s">
        <v>54</v>
      </c>
      <c r="H54" s="75">
        <f>SUM(K54:S54)</f>
        <v>0</v>
      </c>
      <c r="I54" s="37"/>
      <c r="J54" s="68"/>
      <c r="K54" s="68"/>
      <c r="L54" s="75">
        <f>IF(OR(ABS(SUM(L40:L42) - 1) &lt; 10^-check_decimals, ABS(SUM(L40:L42) - 0) &lt; 10^-check_decimals), 0, 1)</f>
        <v>0</v>
      </c>
      <c r="M54" s="75">
        <f>IF(OR(ABS(SUM(M40:M42) - 1) &lt; 10^-check_decimals, ABS(SUM(M40:M42) - 0) &lt; 10^-check_decimals), 0, 1)</f>
        <v>0</v>
      </c>
      <c r="N54" s="68"/>
      <c r="O54" s="68"/>
      <c r="P54" s="75">
        <f>IF(OR(ABS(SUM(P40:P42) - 1) &lt; 10^-check_decimals, ABS(SUM(P40:P42) - 0) &lt; 10^-check_decimals), 0, 1)</f>
        <v>0</v>
      </c>
      <c r="Q54" s="68"/>
      <c r="R54" s="68"/>
      <c r="S54" s="68"/>
    </row>
    <row r="56" spans="2:27" x14ac:dyDescent="0.25">
      <c r="E56" t="s">
        <v>238</v>
      </c>
      <c r="G56" s="6" t="s">
        <v>54</v>
      </c>
      <c r="H56" s="26">
        <f>SUM(H47:H54)</f>
        <v>0</v>
      </c>
    </row>
    <row r="58" spans="2:27" x14ac:dyDescent="0.25">
      <c r="B58" s="30" t="s">
        <v>105</v>
      </c>
      <c r="C58" s="30"/>
      <c r="D58" s="30"/>
      <c r="E58" s="30"/>
      <c r="F58" s="30"/>
      <c r="G58" s="30"/>
      <c r="H58" s="30"/>
      <c r="I58" s="30"/>
      <c r="J58" s="30"/>
      <c r="K58" s="30"/>
      <c r="L58" s="30"/>
      <c r="M58" s="30"/>
      <c r="N58" s="30"/>
      <c r="O58" s="30"/>
      <c r="P58" s="30"/>
      <c r="Q58" s="30"/>
      <c r="R58" s="30"/>
      <c r="S58" s="30"/>
      <c r="T58" s="30"/>
      <c r="U58" s="30"/>
      <c r="W58" s="30"/>
      <c r="X58" s="30"/>
      <c r="Y58" s="30"/>
      <c r="Z58" s="30"/>
      <c r="AA58" s="30"/>
    </row>
    <row r="61" spans="2:27" x14ac:dyDescent="0.25">
      <c r="K61" s="84"/>
      <c r="L61" s="84"/>
      <c r="M61" s="84"/>
      <c r="O61" s="84"/>
      <c r="P61" s="84"/>
      <c r="Q61" s="84"/>
      <c r="R61" s="84"/>
    </row>
    <row r="62" spans="2:27" x14ac:dyDescent="0.25">
      <c r="K62" s="84"/>
      <c r="L62" s="84"/>
      <c r="M62" s="84"/>
      <c r="O62" s="84"/>
      <c r="P62" s="84"/>
      <c r="Q62" s="84"/>
      <c r="R62" s="84"/>
    </row>
    <row r="63" spans="2:27" x14ac:dyDescent="0.25">
      <c r="K63" s="84"/>
      <c r="L63" s="84"/>
      <c r="M63" s="84"/>
      <c r="O63" s="84"/>
      <c r="P63" s="84"/>
      <c r="Q63" s="84"/>
      <c r="R63" s="84"/>
    </row>
    <row r="64" spans="2:27" x14ac:dyDescent="0.25">
      <c r="K64" s="84"/>
      <c r="L64" s="84"/>
      <c r="M64" s="84"/>
      <c r="O64" s="84"/>
      <c r="P64" s="84"/>
      <c r="Q64" s="84"/>
      <c r="R64" s="84"/>
    </row>
    <row r="65" spans="11:18" x14ac:dyDescent="0.25">
      <c r="K65" s="84"/>
      <c r="L65" s="84"/>
      <c r="M65" s="84"/>
      <c r="O65" s="84"/>
      <c r="P65" s="84"/>
      <c r="Q65" s="84"/>
      <c r="R65" s="84"/>
    </row>
    <row r="66" spans="11:18" x14ac:dyDescent="0.25">
      <c r="K66" s="84"/>
      <c r="L66" s="84"/>
      <c r="M66" s="84"/>
      <c r="O66" s="84"/>
      <c r="P66" s="84"/>
      <c r="Q66" s="84"/>
      <c r="R66" s="84"/>
    </row>
    <row r="67" spans="11:18" x14ac:dyDescent="0.25">
      <c r="K67" s="84"/>
      <c r="L67" s="84"/>
      <c r="M67" s="84"/>
      <c r="O67" s="84"/>
      <c r="P67" s="84"/>
      <c r="Q67" s="84"/>
      <c r="R67" s="84"/>
    </row>
    <row r="68" spans="11:18" x14ac:dyDescent="0.25">
      <c r="K68" s="84"/>
      <c r="L68" s="84"/>
      <c r="M68" s="84"/>
      <c r="O68" s="84"/>
      <c r="P68" s="84"/>
      <c r="Q68" s="84"/>
      <c r="R68" s="84"/>
    </row>
    <row r="69" spans="11:18" x14ac:dyDescent="0.25">
      <c r="K69" s="84"/>
      <c r="L69" s="84"/>
      <c r="M69" s="84"/>
      <c r="O69" s="84"/>
      <c r="P69" s="84"/>
      <c r="Q69" s="84"/>
      <c r="R69" s="84"/>
    </row>
  </sheetData>
  <sheetProtection formatCells="0" formatColumns="0" formatRows="0" sort="0" autoFilter="0"/>
  <conditionalFormatting sqref="H53 K53 N53:O53">
    <cfRule type="cellIs" dxfId="195" priority="13" operator="greaterThan">
      <formula>0</formula>
    </cfRule>
  </conditionalFormatting>
  <conditionalFormatting sqref="H47">
    <cfRule type="cellIs" dxfId="194" priority="11" operator="greaterThan">
      <formula>0</formula>
    </cfRule>
  </conditionalFormatting>
  <conditionalFormatting sqref="Q53:S53">
    <cfRule type="cellIs" dxfId="193" priority="10" operator="greaterThan">
      <formula>0</formula>
    </cfRule>
  </conditionalFormatting>
  <conditionalFormatting sqref="H56">
    <cfRule type="cellIs" dxfId="192" priority="9" operator="greaterThan">
      <formula>0</formula>
    </cfRule>
  </conditionalFormatting>
  <conditionalFormatting sqref="H54">
    <cfRule type="cellIs" dxfId="191" priority="8" operator="greaterThan">
      <formula>0</formula>
    </cfRule>
  </conditionalFormatting>
  <conditionalFormatting sqref="P54">
    <cfRule type="cellIs" dxfId="190" priority="6" operator="greaterThan">
      <formula>0</formula>
    </cfRule>
  </conditionalFormatting>
  <conditionalFormatting sqref="M54">
    <cfRule type="cellIs" dxfId="189" priority="5" operator="greaterThan">
      <formula>0</formula>
    </cfRule>
  </conditionalFormatting>
  <conditionalFormatting sqref="L54">
    <cfRule type="cellIs" dxfId="188" priority="4" operator="greaterThan">
      <formula>0</formula>
    </cfRule>
  </conditionalFormatting>
  <conditionalFormatting sqref="H49">
    <cfRule type="cellIs" dxfId="187" priority="2" operator="greaterThan">
      <formula>0</formula>
    </cfRule>
  </conditionalFormatting>
  <conditionalFormatting sqref="A4:XFD4">
    <cfRule type="expression" dxfId="186" priority="1">
      <formula>LEFT($A$4,1) &lt;&gt; "0"</formula>
    </cfRule>
  </conditionalFormatting>
  <dataValidations count="8">
    <dataValidation type="decimal" operator="greaterThan" allowBlank="1" showInputMessage="1" showErrorMessage="1" sqref="K19" xr:uid="{00000000-0002-0000-0700-000000000000}">
      <formula1>0</formula1>
    </dataValidation>
    <dataValidation type="decimal" allowBlank="1" showInputMessage="1" showErrorMessage="1" errorTitle="Invalid diversity allowance" error="Invalid diversity allowance (negative number or unused cell)." sqref="I17:J17 J19 J15 J21 P17 M15 R15:S15 O15" xr:uid="{00000000-0002-0000-0700-000001000000}">
      <formula1>0</formula1>
      <formula2>4</formula2>
    </dataValidation>
    <dataValidation type="decimal" allowBlank="1" showInputMessage="1" showErrorMessage="1" sqref="L19:O19 Q19:S19" xr:uid="{00000000-0002-0000-0700-000002000000}">
      <formula1>0.001</formula1>
      <formula2>999999.999</formula2>
    </dataValidation>
    <dataValidation type="decimal" allowBlank="1" showInputMessage="1" showErrorMessage="1" errorTitle="Invalid customer contribution" error="Invalid customer contribution (negative number or unused cell)." sqref="L26:S29" xr:uid="{00000000-0002-0000-0700-000003000000}">
      <formula1>0</formula1>
      <formula2>1</formula2>
    </dataValidation>
    <dataValidation type="decimal" operator="greaterThanOrEqual" allowBlank="1" showInputMessage="1" showErrorMessage="1" sqref="L33:S33" xr:uid="{00000000-0002-0000-0700-000004000000}">
      <formula1>0</formula1>
    </dataValidation>
    <dataValidation type="decimal" allowBlank="1" showInputMessage="1" showErrorMessage="1" sqref="P15 P19 K43:S43" xr:uid="{00000000-0002-0000-0700-000005000000}">
      <formula1>0</formula1>
      <formula2>1</formula2>
    </dataValidation>
    <dataValidation type="decimal" allowBlank="1" showErrorMessage="1" prompt="Red, Amber and Green must sum to 100%." sqref="K40:S42" xr:uid="{00000000-0002-0000-0700-000006000000}">
      <formula1>0</formula1>
      <formula2>1</formula2>
    </dataValidation>
    <dataValidation type="decimal" operator="greaterThan" allowBlank="1" showInputMessage="1" showErrorMessage="1" errorTitle="Invalid diversity allowance" error="Invalid diversity allowance (negative number or unused cell)." sqref="N15 K15:L15 Q15" xr:uid="{00000000-0002-0000-0700-000007000000}">
      <formula1>0</formula1>
    </dataValidation>
  </dataValidations>
  <hyperlinks>
    <hyperlink ref="B5:F5" location="'Model map'!A1" display="Click here to return to model map" xr:uid="{00000000-0004-0000-0700-000000000000}"/>
  </hyperlinks>
  <pageMargins left="0.7" right="0.7" top="0.75" bottom="0.75" header="0.3" footer="0.3"/>
  <pageSetup paperSize="9" fitToHeight="0" orientation="portrait" r:id="rId1"/>
  <headerFooter>
    <oddHeader>&amp;L&amp;A&amp;C&amp;R&amp;P of &amp;N</oddHeader>
    <oddFooter>&amp;F</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theme="5" tint="0.59999389629810485"/>
    <pageSetUpPr fitToPage="1"/>
  </sheetPr>
  <dimension ref="A1:IV116"/>
  <sheetViews>
    <sheetView showGridLines="0" zoomScale="80" zoomScaleNormal="80" workbookViewId="0">
      <pane ySplit="5" topLeftCell="A72" activePane="bottomLeft" state="frozen"/>
      <selection pane="bottomLeft" activeCell="H102" sqref="H102:H104"/>
    </sheetView>
  </sheetViews>
  <sheetFormatPr defaultColWidth="0" defaultRowHeight="15" x14ac:dyDescent="0.25"/>
  <cols>
    <col min="1" max="5" width="2.5703125" customWidth="1"/>
    <col min="6" max="6" width="59.5703125" customWidth="1"/>
    <col min="7" max="8" width="20.5703125" customWidth="1"/>
    <col min="9" max="9" width="2.42578125" customWidth="1"/>
    <col min="10" max="10" width="50.5703125" customWidth="1"/>
    <col min="11" max="11" width="2.42578125" customWidth="1"/>
    <col min="12" max="17" width="15.42578125" hidden="1" customWidth="1"/>
    <col min="18" max="27" width="20.5703125" hidden="1" customWidth="1"/>
    <col min="28" max="28" width="2.5703125" hidden="1" customWidth="1"/>
    <col min="29" max="256" width="20.5703125" hidden="1" customWidth="1"/>
    <col min="257" max="16384" width="9.28515625" hidden="1"/>
  </cols>
  <sheetData>
    <row r="1" spans="1:27" s="1" customFormat="1" x14ac:dyDescent="0.25">
      <c r="A1" s="1" t="str">
        <f ca="1">MID(CELL("filename",A1),FIND("]",CELL("filename",A1))+1,255)</f>
        <v>General inputs</v>
      </c>
    </row>
    <row r="2" spans="1:27" s="1" customFormat="1" x14ac:dyDescent="0.25">
      <c r="A2" s="1" t="str">
        <f>Cover!D21&amp;" - "&amp;Cover!D23</f>
        <v>SP Distribution - Two</v>
      </c>
    </row>
    <row r="3" spans="1:27" s="5" customFormat="1" x14ac:dyDescent="0.25">
      <c r="A3" s="5" t="str">
        <f>Cover!D2&amp;" - "&amp;Cover!D8&amp;" v"&amp;Cover!D10&amp;" - "&amp;Cover!D19</f>
        <v>CDCM charging model - Release for charge setting v6 - 2021/22</v>
      </c>
    </row>
    <row r="4" spans="1:27" x14ac:dyDescent="0.25">
      <c r="A4" s="12" t="str">
        <f>H114 &amp; IF(H114 = 1, " issue", " issues") &amp;" identified in checks on this sheet"</f>
        <v>0 issues identified in checks on this sheet</v>
      </c>
      <c r="B4" s="13"/>
      <c r="C4" s="13"/>
      <c r="D4" s="13"/>
      <c r="E4" s="13"/>
      <c r="F4" s="13"/>
      <c r="G4" s="13"/>
      <c r="H4" s="14"/>
      <c r="I4" s="14"/>
      <c r="J4" s="13"/>
    </row>
    <row r="5" spans="1:27" x14ac:dyDescent="0.25">
      <c r="B5" s="59" t="s">
        <v>141</v>
      </c>
      <c r="C5" s="60"/>
      <c r="D5" s="60"/>
      <c r="E5" s="60"/>
      <c r="F5" s="60"/>
      <c r="G5" s="21" t="s">
        <v>142</v>
      </c>
      <c r="H5" s="93" t="s">
        <v>143</v>
      </c>
      <c r="J5" s="61" t="s">
        <v>144</v>
      </c>
    </row>
    <row r="6" spans="1:27" x14ac:dyDescent="0.25">
      <c r="G6" s="13"/>
    </row>
    <row r="7" spans="1:27" x14ac:dyDescent="0.25">
      <c r="B7" s="30" t="s">
        <v>9</v>
      </c>
      <c r="C7" s="30"/>
      <c r="D7" s="30"/>
      <c r="E7" s="30"/>
      <c r="F7" s="30"/>
      <c r="G7" s="92"/>
      <c r="H7" s="30"/>
      <c r="I7" s="30"/>
      <c r="J7" s="30"/>
      <c r="L7" s="30"/>
      <c r="M7" s="30"/>
      <c r="N7" s="30"/>
      <c r="O7" s="30"/>
      <c r="P7" s="30"/>
      <c r="Q7" s="30"/>
      <c r="R7" s="30"/>
      <c r="S7" s="30"/>
      <c r="T7" s="30"/>
      <c r="U7" s="30"/>
      <c r="V7" s="30"/>
      <c r="W7" s="30"/>
      <c r="X7" s="30"/>
      <c r="Y7" s="30"/>
      <c r="Z7" s="30"/>
      <c r="AA7" s="30"/>
    </row>
    <row r="8" spans="1:27" x14ac:dyDescent="0.25">
      <c r="G8" s="13"/>
    </row>
    <row r="9" spans="1:27" x14ac:dyDescent="0.25">
      <c r="C9" s="29" t="s">
        <v>300</v>
      </c>
      <c r="G9" s="13"/>
    </row>
    <row r="10" spans="1:27" x14ac:dyDescent="0.25">
      <c r="G10" s="13"/>
    </row>
    <row r="11" spans="1:27" x14ac:dyDescent="0.25">
      <c r="B11" s="30" t="s">
        <v>59</v>
      </c>
      <c r="C11" s="30"/>
      <c r="D11" s="30"/>
      <c r="E11" s="30"/>
      <c r="F11" s="30"/>
      <c r="G11" s="92"/>
      <c r="H11" s="30"/>
      <c r="I11" s="30"/>
      <c r="J11" s="30"/>
      <c r="L11" s="30"/>
      <c r="M11" s="30"/>
      <c r="N11" s="30"/>
      <c r="O11" s="30"/>
      <c r="P11" s="30"/>
      <c r="Q11" s="30"/>
      <c r="R11" s="30"/>
      <c r="S11" s="30"/>
      <c r="T11" s="30"/>
      <c r="U11" s="30"/>
      <c r="V11" s="30"/>
      <c r="W11" s="30"/>
      <c r="X11" s="30"/>
      <c r="Y11" s="30"/>
      <c r="Z11" s="30"/>
      <c r="AA11" s="30"/>
    </row>
    <row r="12" spans="1:27" x14ac:dyDescent="0.25">
      <c r="G12" s="13"/>
    </row>
    <row r="13" spans="1:27" x14ac:dyDescent="0.25">
      <c r="C13" s="31" t="str">
        <f ca="1">INDEX('Version control'!$H$34:$H$57,MATCH($A$1,'Version control'!$F$34:$F$57,0),1)&amp;"-A: Inputs by distribution timeband"</f>
        <v>Input 104-A: Inputs by distribution timeband</v>
      </c>
      <c r="D13" s="31"/>
      <c r="E13" s="31"/>
      <c r="F13" s="31"/>
      <c r="G13" s="96"/>
      <c r="H13" s="31"/>
      <c r="I13" s="31"/>
      <c r="J13" s="31"/>
      <c r="L13" s="30"/>
      <c r="M13" s="30"/>
      <c r="N13" s="30"/>
      <c r="O13" s="30"/>
      <c r="P13" s="30"/>
      <c r="Q13" s="30"/>
      <c r="R13" s="30"/>
      <c r="S13" s="30"/>
      <c r="T13" s="30"/>
      <c r="U13" s="30"/>
      <c r="V13" s="30"/>
      <c r="W13" s="30"/>
      <c r="X13" s="30"/>
      <c r="Y13" s="30"/>
      <c r="Z13" s="30"/>
      <c r="AA13" s="30"/>
    </row>
    <row r="14" spans="1:27" x14ac:dyDescent="0.25">
      <c r="G14" s="13"/>
    </row>
    <row r="15" spans="1:27" x14ac:dyDescent="0.25">
      <c r="D15" s="32" t="s">
        <v>301</v>
      </c>
      <c r="E15" s="32"/>
      <c r="G15" s="13"/>
      <c r="I15" t="s">
        <v>153</v>
      </c>
      <c r="J15" t="s">
        <v>302</v>
      </c>
    </row>
    <row r="16" spans="1:27" x14ac:dyDescent="0.25">
      <c r="E16" s="64" t="s">
        <v>295</v>
      </c>
      <c r="F16" s="64"/>
      <c r="G16" s="85" t="s">
        <v>303</v>
      </c>
      <c r="H16" s="349">
        <v>258</v>
      </c>
    </row>
    <row r="17" spans="3:27" x14ac:dyDescent="0.25">
      <c r="E17" s="28" t="s">
        <v>304</v>
      </c>
      <c r="F17" s="28"/>
      <c r="G17" s="13" t="s">
        <v>303</v>
      </c>
      <c r="H17" s="350">
        <v>3942.5</v>
      </c>
    </row>
    <row r="18" spans="3:27" x14ac:dyDescent="0.25">
      <c r="E18" s="67" t="s">
        <v>256</v>
      </c>
      <c r="F18" s="67"/>
      <c r="G18" s="86" t="s">
        <v>303</v>
      </c>
      <c r="H18" s="351">
        <v>4559.5</v>
      </c>
    </row>
    <row r="19" spans="3:27" x14ac:dyDescent="0.25">
      <c r="G19" s="13"/>
      <c r="H19" s="89"/>
    </row>
    <row r="20" spans="3:27" x14ac:dyDescent="0.25">
      <c r="D20" s="32" t="s">
        <v>305</v>
      </c>
      <c r="E20" s="32"/>
      <c r="G20" s="13"/>
      <c r="H20" s="89"/>
      <c r="I20" t="s">
        <v>153</v>
      </c>
      <c r="J20" t="s">
        <v>302</v>
      </c>
    </row>
    <row r="21" spans="3:27" x14ac:dyDescent="0.25">
      <c r="E21" s="23" t="s">
        <v>293</v>
      </c>
      <c r="F21" s="23"/>
      <c r="G21" s="85" t="s">
        <v>303</v>
      </c>
      <c r="H21" s="349">
        <v>783</v>
      </c>
    </row>
    <row r="22" spans="3:27" x14ac:dyDescent="0.25">
      <c r="E22" t="s">
        <v>294</v>
      </c>
      <c r="G22" s="13" t="s">
        <v>303</v>
      </c>
      <c r="H22" s="350">
        <v>3417.5</v>
      </c>
    </row>
    <row r="23" spans="3:27" x14ac:dyDescent="0.25">
      <c r="E23" s="37" t="s">
        <v>256</v>
      </c>
      <c r="F23" s="37"/>
      <c r="G23" s="86" t="s">
        <v>303</v>
      </c>
      <c r="H23" s="351">
        <v>4559.5</v>
      </c>
    </row>
    <row r="24" spans="3:27" x14ac:dyDescent="0.25">
      <c r="G24" s="13"/>
    </row>
    <row r="25" spans="3:27" x14ac:dyDescent="0.25">
      <c r="C25" s="31" t="str">
        <f ca="1">INDEX('Version control'!$H$34:$H$57,MATCH($A$1,'Version control'!$F$34:$F$57,0),1)&amp;"-B: LDNO discount inputs"</f>
        <v>Input 104-B: LDNO discount inputs</v>
      </c>
      <c r="D25" s="31"/>
      <c r="E25" s="31"/>
      <c r="F25" s="31"/>
      <c r="G25" s="96"/>
      <c r="H25" s="31"/>
      <c r="I25" s="31"/>
      <c r="J25" s="31"/>
      <c r="L25" s="30"/>
      <c r="M25" s="30"/>
      <c r="N25" s="30"/>
      <c r="O25" s="30"/>
      <c r="P25" s="30"/>
      <c r="Q25" s="30"/>
      <c r="R25" s="30"/>
      <c r="S25" s="30"/>
      <c r="T25" s="30"/>
      <c r="U25" s="30"/>
      <c r="V25" s="30"/>
      <c r="W25" s="30"/>
      <c r="X25" s="30"/>
      <c r="Y25" s="30"/>
      <c r="Z25" s="30"/>
      <c r="AA25" s="30"/>
    </row>
    <row r="26" spans="3:27" x14ac:dyDescent="0.25">
      <c r="G26" s="13"/>
    </row>
    <row r="27" spans="3:27" x14ac:dyDescent="0.25">
      <c r="D27" s="29" t="s">
        <v>306</v>
      </c>
      <c r="E27" s="29"/>
      <c r="G27" s="13"/>
    </row>
    <row r="28" spans="3:27" x14ac:dyDescent="0.25">
      <c r="D28" s="29"/>
      <c r="E28" s="29"/>
      <c r="G28" s="13"/>
    </row>
    <row r="29" spans="3:27" x14ac:dyDescent="0.25">
      <c r="D29" s="32" t="s">
        <v>307</v>
      </c>
      <c r="E29" s="32"/>
      <c r="G29" s="13"/>
      <c r="I29" t="s">
        <v>153</v>
      </c>
      <c r="J29" t="s">
        <v>308</v>
      </c>
    </row>
    <row r="30" spans="3:27" x14ac:dyDescent="0.25">
      <c r="E30" s="64" t="s">
        <v>174</v>
      </c>
      <c r="F30" s="23"/>
      <c r="G30" s="78" t="s">
        <v>166</v>
      </c>
      <c r="H30" s="352">
        <v>0.39067242808448932</v>
      </c>
    </row>
    <row r="31" spans="3:27" x14ac:dyDescent="0.25">
      <c r="E31" s="28" t="s">
        <v>176</v>
      </c>
      <c r="G31" s="72" t="s">
        <v>166</v>
      </c>
      <c r="H31" s="262">
        <v>0.60361788113874959</v>
      </c>
    </row>
    <row r="32" spans="3:27" x14ac:dyDescent="0.25">
      <c r="E32" s="28" t="s">
        <v>177</v>
      </c>
      <c r="G32" s="72" t="s">
        <v>166</v>
      </c>
      <c r="H32" s="262">
        <v>0.34819248571328243</v>
      </c>
    </row>
    <row r="33" spans="3:27" x14ac:dyDescent="0.25">
      <c r="E33" s="67" t="s">
        <v>178</v>
      </c>
      <c r="F33" s="37"/>
      <c r="G33" s="80" t="s">
        <v>166</v>
      </c>
      <c r="H33" s="353">
        <v>0.25174009320591562</v>
      </c>
    </row>
    <row r="34" spans="3:27" x14ac:dyDescent="0.25">
      <c r="G34" s="13"/>
    </row>
    <row r="35" spans="3:27" x14ac:dyDescent="0.25">
      <c r="C35" s="31" t="str">
        <f ca="1">INDEX('Version control'!$H$34:$H$57,MATCH($A$1,'Version control'!$F$34:$F$57,0),1)&amp;"-C: CDCM target revenue"</f>
        <v>Input 104-C: CDCM target revenue</v>
      </c>
      <c r="D35" s="31"/>
      <c r="E35" s="31"/>
      <c r="F35" s="31"/>
      <c r="G35" s="96"/>
      <c r="H35" s="31"/>
      <c r="I35" s="31"/>
      <c r="J35" s="31"/>
      <c r="L35" s="30"/>
      <c r="M35" s="30"/>
      <c r="N35" s="30"/>
      <c r="O35" s="30"/>
      <c r="P35" s="30"/>
      <c r="Q35" s="30"/>
      <c r="R35" s="30"/>
      <c r="S35" s="30"/>
      <c r="T35" s="30"/>
      <c r="U35" s="30"/>
      <c r="V35" s="30"/>
      <c r="W35" s="30"/>
      <c r="X35" s="30"/>
      <c r="Y35" s="30"/>
      <c r="Z35" s="30"/>
      <c r="AA35" s="30"/>
    </row>
    <row r="37" spans="3:27" x14ac:dyDescent="0.25">
      <c r="D37" s="29" t="s">
        <v>309</v>
      </c>
      <c r="E37" s="29"/>
      <c r="G37" s="13"/>
      <c r="H37" s="13"/>
      <c r="I37" t="s">
        <v>153</v>
      </c>
      <c r="J37" t="s">
        <v>310</v>
      </c>
      <c r="K37" s="13"/>
      <c r="L37" s="13"/>
      <c r="M37" s="13"/>
      <c r="N37" s="13"/>
      <c r="O37" s="13"/>
      <c r="P37" s="13"/>
      <c r="Q37" s="13"/>
      <c r="R37" s="13"/>
      <c r="S37" s="13"/>
    </row>
    <row r="38" spans="3:27" x14ac:dyDescent="0.25">
      <c r="D38" s="29" t="s">
        <v>892</v>
      </c>
      <c r="E38" s="29"/>
      <c r="G38" s="13"/>
      <c r="H38" s="13"/>
      <c r="I38" s="13"/>
      <c r="J38" s="97"/>
      <c r="K38" s="13"/>
      <c r="L38" s="13"/>
      <c r="M38" s="13"/>
      <c r="N38" s="13"/>
      <c r="O38" s="13"/>
      <c r="P38" s="13"/>
      <c r="Q38" s="13"/>
      <c r="R38" s="13"/>
      <c r="S38" s="13"/>
    </row>
    <row r="39" spans="3:27" x14ac:dyDescent="0.25">
      <c r="E39" s="32"/>
    </row>
    <row r="40" spans="3:27" x14ac:dyDescent="0.25">
      <c r="E40" t="s">
        <v>311</v>
      </c>
      <c r="G40" t="s">
        <v>276</v>
      </c>
      <c r="H40" s="258">
        <v>346000000</v>
      </c>
    </row>
    <row r="41" spans="3:27" x14ac:dyDescent="0.25">
      <c r="E41" t="s">
        <v>312</v>
      </c>
      <c r="G41" t="s">
        <v>276</v>
      </c>
      <c r="H41" s="258">
        <v>-13483324.791387133</v>
      </c>
    </row>
    <row r="42" spans="3:27" x14ac:dyDescent="0.25">
      <c r="E42" t="s">
        <v>313</v>
      </c>
      <c r="G42" t="s">
        <v>276</v>
      </c>
      <c r="H42" s="258">
        <v>-2617430.5441080644</v>
      </c>
    </row>
    <row r="43" spans="3:27" x14ac:dyDescent="0.25">
      <c r="E43" s="37" t="s">
        <v>314</v>
      </c>
      <c r="F43" s="37"/>
      <c r="G43" s="37" t="s">
        <v>282</v>
      </c>
      <c r="H43" s="259">
        <v>1.2609999999999999</v>
      </c>
    </row>
    <row r="44" spans="3:27" x14ac:dyDescent="0.25">
      <c r="E44" t="s">
        <v>315</v>
      </c>
      <c r="G44" t="s">
        <v>276</v>
      </c>
      <c r="H44" s="98">
        <f>SUM(H40:H42)</f>
        <v>329899244.66450477</v>
      </c>
    </row>
    <row r="45" spans="3:27" x14ac:dyDescent="0.25">
      <c r="E45" t="s">
        <v>316</v>
      </c>
      <c r="G45" t="s">
        <v>276</v>
      </c>
      <c r="H45" s="98">
        <f>H44 * (H43 - 1)</f>
        <v>86103702.857435703</v>
      </c>
    </row>
    <row r="46" spans="3:27" x14ac:dyDescent="0.25">
      <c r="H46" s="89"/>
    </row>
    <row r="47" spans="3:27" x14ac:dyDescent="0.25">
      <c r="E47" t="s">
        <v>317</v>
      </c>
      <c r="G47" t="s">
        <v>276</v>
      </c>
      <c r="H47" s="258">
        <v>381935.68229276169</v>
      </c>
    </row>
    <row r="48" spans="3:27" x14ac:dyDescent="0.25">
      <c r="E48" t="s">
        <v>318</v>
      </c>
      <c r="G48" t="s">
        <v>276</v>
      </c>
      <c r="H48" s="258">
        <v>-11566275.226868516</v>
      </c>
    </row>
    <row r="49" spans="5:8" x14ac:dyDescent="0.25">
      <c r="E49" t="s">
        <v>319</v>
      </c>
      <c r="G49" t="s">
        <v>276</v>
      </c>
      <c r="H49" s="258">
        <v>8418434.0577780586</v>
      </c>
    </row>
    <row r="50" spans="5:8" x14ac:dyDescent="0.25">
      <c r="E50" t="s">
        <v>320</v>
      </c>
      <c r="G50" t="s">
        <v>276</v>
      </c>
      <c r="H50" s="258">
        <v>1781216.1251461192</v>
      </c>
    </row>
    <row r="51" spans="5:8" x14ac:dyDescent="0.25">
      <c r="E51" t="s">
        <v>321</v>
      </c>
      <c r="G51" t="s">
        <v>276</v>
      </c>
      <c r="H51" s="258">
        <v>14896.347279979647</v>
      </c>
    </row>
    <row r="52" spans="5:8" x14ac:dyDescent="0.25">
      <c r="E52" t="s">
        <v>322</v>
      </c>
      <c r="G52" t="s">
        <v>276</v>
      </c>
      <c r="H52" s="258">
        <v>0</v>
      </c>
    </row>
    <row r="53" spans="5:8" x14ac:dyDescent="0.25">
      <c r="E53" t="s">
        <v>986</v>
      </c>
      <c r="G53" t="s">
        <v>276</v>
      </c>
      <c r="H53" s="258">
        <v>47073.343842731156</v>
      </c>
    </row>
    <row r="54" spans="5:8" x14ac:dyDescent="0.25">
      <c r="E54" t="s">
        <v>987</v>
      </c>
      <c r="G54" t="s">
        <v>276</v>
      </c>
      <c r="H54" s="258">
        <v>1417380.0307358583</v>
      </c>
    </row>
    <row r="55" spans="5:8" x14ac:dyDescent="0.25">
      <c r="E55" s="37" t="s">
        <v>323</v>
      </c>
      <c r="F55" s="37"/>
      <c r="G55" s="37" t="s">
        <v>276</v>
      </c>
      <c r="H55" s="259">
        <v>0</v>
      </c>
    </row>
    <row r="56" spans="5:8" x14ac:dyDescent="0.25">
      <c r="E56" t="s">
        <v>324</v>
      </c>
      <c r="G56" t="s">
        <v>276</v>
      </c>
      <c r="H56" s="99">
        <f>SUM(H47:H55)</f>
        <v>494660.36020699225</v>
      </c>
    </row>
    <row r="57" spans="5:8" x14ac:dyDescent="0.25">
      <c r="H57" s="89"/>
    </row>
    <row r="58" spans="5:8" x14ac:dyDescent="0.25">
      <c r="E58" t="s">
        <v>325</v>
      </c>
      <c r="G58" t="s">
        <v>276</v>
      </c>
      <c r="H58" s="258">
        <v>3925182.3924593851</v>
      </c>
    </row>
    <row r="59" spans="5:8" x14ac:dyDescent="0.25">
      <c r="E59" t="s">
        <v>326</v>
      </c>
      <c r="G59" t="s">
        <v>276</v>
      </c>
      <c r="H59" s="258">
        <v>8075106.4802583205</v>
      </c>
    </row>
    <row r="60" spans="5:8" x14ac:dyDescent="0.25">
      <c r="E60" t="s">
        <v>327</v>
      </c>
      <c r="G60" t="s">
        <v>276</v>
      </c>
      <c r="H60" s="258">
        <v>0</v>
      </c>
    </row>
    <row r="61" spans="5:8" x14ac:dyDescent="0.25">
      <c r="E61" t="s">
        <v>328</v>
      </c>
      <c r="G61" t="s">
        <v>276</v>
      </c>
      <c r="H61" s="258">
        <v>713669.52590170642</v>
      </c>
    </row>
    <row r="62" spans="5:8" x14ac:dyDescent="0.25">
      <c r="E62" t="s">
        <v>329</v>
      </c>
      <c r="G62" t="s">
        <v>276</v>
      </c>
      <c r="H62" s="258">
        <v>735162.99999999988</v>
      </c>
    </row>
    <row r="63" spans="5:8" x14ac:dyDescent="0.25">
      <c r="E63" t="s">
        <v>330</v>
      </c>
      <c r="G63" t="s">
        <v>276</v>
      </c>
      <c r="H63" s="258">
        <v>1657301.5080000001</v>
      </c>
    </row>
    <row r="64" spans="5:8" x14ac:dyDescent="0.25">
      <c r="E64" t="s">
        <v>331</v>
      </c>
      <c r="G64" t="s">
        <v>276</v>
      </c>
      <c r="H64" s="258">
        <v>0</v>
      </c>
    </row>
    <row r="65" spans="5:8" x14ac:dyDescent="0.25">
      <c r="E65" t="s">
        <v>332</v>
      </c>
      <c r="G65" t="s">
        <v>276</v>
      </c>
      <c r="H65" s="258">
        <v>0</v>
      </c>
    </row>
    <row r="66" spans="5:8" x14ac:dyDescent="0.25">
      <c r="E66" t="s">
        <v>333</v>
      </c>
      <c r="G66" t="s">
        <v>276</v>
      </c>
      <c r="H66" s="258">
        <v>0</v>
      </c>
    </row>
    <row r="67" spans="5:8" x14ac:dyDescent="0.25">
      <c r="E67" t="s">
        <v>334</v>
      </c>
      <c r="G67" t="s">
        <v>276</v>
      </c>
      <c r="H67" s="258">
        <v>0</v>
      </c>
    </row>
    <row r="68" spans="5:8" x14ac:dyDescent="0.25">
      <c r="E68" s="37" t="s">
        <v>335</v>
      </c>
      <c r="F68" s="37"/>
      <c r="G68" s="37" t="s">
        <v>276</v>
      </c>
      <c r="H68" s="259">
        <v>0</v>
      </c>
    </row>
    <row r="69" spans="5:8" x14ac:dyDescent="0.25">
      <c r="E69" t="s">
        <v>336</v>
      </c>
      <c r="G69" t="s">
        <v>276</v>
      </c>
      <c r="H69" s="98">
        <f>SUM(H58:H68)</f>
        <v>15106422.906619411</v>
      </c>
    </row>
    <row r="70" spans="5:8" x14ac:dyDescent="0.25">
      <c r="H70" s="89"/>
    </row>
    <row r="71" spans="5:8" x14ac:dyDescent="0.25">
      <c r="E71" s="37" t="s">
        <v>337</v>
      </c>
      <c r="F71" s="37"/>
      <c r="G71" s="37" t="s">
        <v>276</v>
      </c>
      <c r="H71" s="259">
        <v>-5553744.6795161283</v>
      </c>
    </row>
    <row r="72" spans="5:8" x14ac:dyDescent="0.25">
      <c r="E72" t="s">
        <v>338</v>
      </c>
      <c r="G72" t="s">
        <v>276</v>
      </c>
      <c r="H72" s="98">
        <f>H71 + H69 + H56 + H45 + H44</f>
        <v>426050286.10925072</v>
      </c>
    </row>
    <row r="73" spans="5:8" x14ac:dyDescent="0.25">
      <c r="H73" s="89"/>
    </row>
    <row r="74" spans="5:8" x14ac:dyDescent="0.25">
      <c r="E74" t="s">
        <v>339</v>
      </c>
      <c r="G74" t="s">
        <v>276</v>
      </c>
      <c r="H74" s="258">
        <v>0</v>
      </c>
    </row>
    <row r="75" spans="5:8" x14ac:dyDescent="0.25">
      <c r="E75" t="s">
        <v>340</v>
      </c>
      <c r="G75" t="s">
        <v>276</v>
      </c>
      <c r="H75" s="258">
        <v>687596.03530468408</v>
      </c>
    </row>
    <row r="76" spans="5:8" x14ac:dyDescent="0.25">
      <c r="E76" t="s">
        <v>341</v>
      </c>
      <c r="G76" t="s">
        <v>276</v>
      </c>
      <c r="H76" s="258">
        <v>0</v>
      </c>
    </row>
    <row r="77" spans="5:8" x14ac:dyDescent="0.25">
      <c r="E77" t="s">
        <v>342</v>
      </c>
      <c r="G77" t="s">
        <v>276</v>
      </c>
      <c r="H77" s="258">
        <v>0</v>
      </c>
    </row>
    <row r="78" spans="5:8" x14ac:dyDescent="0.25">
      <c r="E78" s="37" t="s">
        <v>343</v>
      </c>
      <c r="F78" s="37"/>
      <c r="G78" s="37" t="s">
        <v>276</v>
      </c>
      <c r="H78" s="259">
        <v>0</v>
      </c>
    </row>
    <row r="79" spans="5:8" x14ac:dyDescent="0.25">
      <c r="E79" s="37" t="s">
        <v>344</v>
      </c>
      <c r="F79" s="37"/>
      <c r="G79" s="37" t="s">
        <v>276</v>
      </c>
      <c r="H79" s="100">
        <f>SUM(H74:H78)</f>
        <v>687596.03530468408</v>
      </c>
    </row>
    <row r="80" spans="5:8" x14ac:dyDescent="0.25">
      <c r="E80" t="s">
        <v>345</v>
      </c>
      <c r="G80" t="s">
        <v>276</v>
      </c>
      <c r="H80" s="99">
        <f>H72+H79</f>
        <v>426737882.14455539</v>
      </c>
    </row>
    <row r="81" spans="3:27" x14ac:dyDescent="0.25">
      <c r="H81" s="89"/>
    </row>
    <row r="82" spans="3:27" x14ac:dyDescent="0.25">
      <c r="E82" t="s">
        <v>346</v>
      </c>
      <c r="G82" t="s">
        <v>276</v>
      </c>
      <c r="H82" s="258">
        <v>9556157.0663702693</v>
      </c>
    </row>
    <row r="83" spans="3:27" x14ac:dyDescent="0.25">
      <c r="E83" t="s">
        <v>347</v>
      </c>
      <c r="G83" t="s">
        <v>276</v>
      </c>
      <c r="H83" s="258"/>
    </row>
    <row r="84" spans="3:27" x14ac:dyDescent="0.25">
      <c r="E84" t="s">
        <v>348</v>
      </c>
      <c r="G84" t="s">
        <v>276</v>
      </c>
      <c r="H84" s="258"/>
    </row>
    <row r="85" spans="3:27" x14ac:dyDescent="0.25">
      <c r="E85" s="37" t="s">
        <v>349</v>
      </c>
      <c r="F85" s="37"/>
      <c r="G85" s="37" t="s">
        <v>276</v>
      </c>
      <c r="H85" s="259"/>
    </row>
    <row r="86" spans="3:27" x14ac:dyDescent="0.25">
      <c r="E86" t="s">
        <v>350</v>
      </c>
      <c r="G86" t="s">
        <v>276</v>
      </c>
      <c r="H86" s="98">
        <f>SUM(H82:H85)</f>
        <v>9556157.0663702693</v>
      </c>
    </row>
    <row r="87" spans="3:27" x14ac:dyDescent="0.25">
      <c r="E87" s="23" t="s">
        <v>351</v>
      </c>
      <c r="F87" s="23"/>
      <c r="G87" s="23" t="s">
        <v>276</v>
      </c>
      <c r="H87" s="101">
        <f>H80-H86</f>
        <v>417181725.07818514</v>
      </c>
    </row>
    <row r="88" spans="3:27" x14ac:dyDescent="0.25">
      <c r="H88" s="102"/>
    </row>
    <row r="89" spans="3:27" x14ac:dyDescent="0.25">
      <c r="C89" s="31" t="str">
        <f ca="1">INDEX('Version control'!$H$34:$H$57,MATCH($A$1,'Version control'!$F$34:$F$57,0),1)&amp;"-D: Financial and general assumptions"</f>
        <v>Input 104-D: Financial and general assumptions</v>
      </c>
      <c r="D89" s="31"/>
      <c r="E89" s="31"/>
      <c r="F89" s="31"/>
      <c r="G89" s="96"/>
      <c r="H89" s="31"/>
      <c r="I89" s="31"/>
      <c r="J89" s="31"/>
      <c r="L89" s="30"/>
      <c r="M89" s="30"/>
      <c r="N89" s="30"/>
      <c r="O89" s="30"/>
      <c r="P89" s="30"/>
      <c r="Q89" s="30"/>
      <c r="R89" s="30"/>
      <c r="S89" s="30"/>
      <c r="T89" s="30"/>
      <c r="U89" s="30"/>
      <c r="V89" s="30"/>
      <c r="W89" s="30"/>
      <c r="X89" s="30"/>
      <c r="Y89" s="30"/>
      <c r="Z89" s="30"/>
      <c r="AA89" s="30"/>
    </row>
    <row r="91" spans="3:27" x14ac:dyDescent="0.25">
      <c r="E91" s="28" t="s">
        <v>352</v>
      </c>
      <c r="G91" t="s">
        <v>166</v>
      </c>
      <c r="H91" s="262">
        <v>3.6900000000000002E-2</v>
      </c>
      <c r="I91" t="s">
        <v>153</v>
      </c>
      <c r="J91" s="3" t="s">
        <v>164</v>
      </c>
    </row>
    <row r="92" spans="3:27" x14ac:dyDescent="0.25">
      <c r="E92" s="28" t="s">
        <v>126</v>
      </c>
      <c r="G92" s="28" t="s">
        <v>353</v>
      </c>
      <c r="H92" s="247">
        <v>365</v>
      </c>
    </row>
    <row r="93" spans="3:27" x14ac:dyDescent="0.25">
      <c r="E93" t="s">
        <v>354</v>
      </c>
      <c r="G93" t="s">
        <v>146</v>
      </c>
      <c r="H93" s="103">
        <f>days_in_year * hours_in_day</f>
        <v>8760</v>
      </c>
    </row>
    <row r="95" spans="3:27" x14ac:dyDescent="0.25">
      <c r="C95" s="31" t="str">
        <f ca="1">INDEX('Version control'!$H$34:$H$57,MATCH($A$1,'Version control'!$F$34:$F$57,0),1)&amp;"-E: Transmission exit charges"</f>
        <v>Input 104-E: Transmission exit charges</v>
      </c>
      <c r="D95" s="31"/>
      <c r="E95" s="31"/>
      <c r="F95" s="31"/>
      <c r="G95" s="96"/>
      <c r="H95" s="31"/>
      <c r="I95" s="31"/>
      <c r="J95" s="31"/>
      <c r="L95" s="30"/>
      <c r="M95" s="30"/>
      <c r="N95" s="30"/>
      <c r="O95" s="30"/>
      <c r="P95" s="30"/>
      <c r="Q95" s="30"/>
      <c r="R95" s="30"/>
      <c r="S95" s="30"/>
      <c r="T95" s="30"/>
      <c r="U95" s="30"/>
      <c r="V95" s="30"/>
      <c r="W95" s="30"/>
      <c r="X95" s="30"/>
      <c r="Y95" s="30"/>
      <c r="Z95" s="30"/>
      <c r="AA95" s="30"/>
    </row>
    <row r="97" spans="2:27" x14ac:dyDescent="0.25">
      <c r="E97" s="28" t="s">
        <v>355</v>
      </c>
      <c r="G97" t="s">
        <v>356</v>
      </c>
      <c r="H97" s="258">
        <v>35908234.05777806</v>
      </c>
      <c r="I97" t="s">
        <v>153</v>
      </c>
      <c r="J97" t="s">
        <v>357</v>
      </c>
    </row>
    <row r="98" spans="2:27" x14ac:dyDescent="0.25">
      <c r="H98" s="89"/>
    </row>
    <row r="99" spans="2:27" x14ac:dyDescent="0.25">
      <c r="C99" s="31" t="str">
        <f ca="1">INDEX('Version control'!$H$34:$H$57,MATCH($A$1,'Version control'!$F$34:$F$57,0),1)&amp;"-F: Other expenditure"</f>
        <v>Input 104-F: Other expenditure</v>
      </c>
      <c r="D99" s="31"/>
      <c r="E99" s="31"/>
      <c r="F99" s="31"/>
      <c r="G99" s="96"/>
      <c r="H99" s="90"/>
      <c r="I99" s="31"/>
      <c r="J99" s="31"/>
      <c r="L99" s="30"/>
      <c r="M99" s="30"/>
      <c r="N99" s="30"/>
      <c r="O99" s="30"/>
      <c r="P99" s="30"/>
      <c r="Q99" s="30"/>
      <c r="R99" s="30"/>
      <c r="S99" s="30"/>
      <c r="T99" s="30"/>
      <c r="U99" s="30"/>
      <c r="V99" s="30"/>
      <c r="W99" s="30"/>
      <c r="X99" s="30"/>
      <c r="Y99" s="30"/>
      <c r="Z99" s="30"/>
      <c r="AA99" s="30"/>
    </row>
    <row r="100" spans="2:27" x14ac:dyDescent="0.25">
      <c r="H100" s="89"/>
    </row>
    <row r="101" spans="2:27" x14ac:dyDescent="0.25">
      <c r="E101" s="32" t="s">
        <v>358</v>
      </c>
      <c r="F101" s="32"/>
      <c r="H101" s="89"/>
      <c r="I101" t="s">
        <v>153</v>
      </c>
      <c r="J101" t="s">
        <v>169</v>
      </c>
    </row>
    <row r="102" spans="2:27" x14ac:dyDescent="0.25">
      <c r="F102" s="64" t="s">
        <v>359</v>
      </c>
      <c r="G102" s="23" t="s">
        <v>356</v>
      </c>
      <c r="H102" s="257">
        <v>28803040.425109994</v>
      </c>
    </row>
    <row r="103" spans="2:27" x14ac:dyDescent="0.25">
      <c r="F103" s="28" t="s">
        <v>360</v>
      </c>
      <c r="G103" t="s">
        <v>356</v>
      </c>
      <c r="H103" s="258">
        <v>83130091.179891989</v>
      </c>
      <c r="R103" s="88"/>
      <c r="S103" s="88"/>
    </row>
    <row r="104" spans="2:27" x14ac:dyDescent="0.25">
      <c r="F104" s="67" t="s">
        <v>361</v>
      </c>
      <c r="G104" s="37" t="s">
        <v>356</v>
      </c>
      <c r="H104" s="259">
        <v>37991024.773131475</v>
      </c>
      <c r="R104" s="88"/>
      <c r="S104" s="88"/>
    </row>
    <row r="106" spans="2:27" x14ac:dyDescent="0.25">
      <c r="B106" s="30" t="s">
        <v>230</v>
      </c>
      <c r="C106" s="30"/>
      <c r="D106" s="30"/>
      <c r="E106" s="30"/>
      <c r="F106" s="30"/>
      <c r="G106" s="30"/>
      <c r="H106" s="30"/>
      <c r="I106" s="30"/>
      <c r="J106" s="30"/>
      <c r="L106" s="30"/>
      <c r="M106" s="30"/>
      <c r="N106" s="30"/>
      <c r="O106" s="30"/>
      <c r="P106" s="30"/>
      <c r="Q106" s="30"/>
      <c r="R106" s="30"/>
      <c r="S106" s="30"/>
      <c r="T106" s="30"/>
      <c r="U106" s="30"/>
      <c r="V106" s="30"/>
      <c r="W106" s="30"/>
      <c r="X106" s="30"/>
      <c r="Y106" s="30"/>
      <c r="Z106" s="30"/>
      <c r="AA106" s="30"/>
    </row>
    <row r="108" spans="2:27" x14ac:dyDescent="0.25">
      <c r="E108" t="s">
        <v>231</v>
      </c>
      <c r="G108" s="6" t="s">
        <v>54</v>
      </c>
      <c r="H108" s="24">
        <f t="array" ref="H108">SUM(IF(ISERROR(H6:H105), 1))</f>
        <v>0</v>
      </c>
    </row>
    <row r="110" spans="2:27" x14ac:dyDescent="0.25">
      <c r="E110" s="32" t="s">
        <v>362</v>
      </c>
    </row>
    <row r="111" spans="2:27" x14ac:dyDescent="0.25">
      <c r="F111" s="23" t="s">
        <v>363</v>
      </c>
      <c r="G111" s="73" t="s">
        <v>54</v>
      </c>
      <c r="H111" s="74">
        <f>IF(SUM(H16:H18) = hours_in_year, 0, 1)</f>
        <v>0</v>
      </c>
    </row>
    <row r="112" spans="2:27" x14ac:dyDescent="0.25">
      <c r="F112" s="37" t="s">
        <v>364</v>
      </c>
      <c r="G112" s="50" t="s">
        <v>54</v>
      </c>
      <c r="H112" s="75">
        <f>IF(SUM(H21:H23) = hours_in_year, 0, 1)</f>
        <v>0</v>
      </c>
    </row>
    <row r="114" spans="2:27" x14ac:dyDescent="0.25">
      <c r="E114" t="s">
        <v>238</v>
      </c>
      <c r="G114" s="6" t="s">
        <v>54</v>
      </c>
      <c r="H114" s="26">
        <f>SUM(H108,H111:H112)</f>
        <v>0</v>
      </c>
    </row>
    <row r="116" spans="2:27" x14ac:dyDescent="0.25">
      <c r="B116" s="30" t="s">
        <v>105</v>
      </c>
      <c r="C116" s="30"/>
      <c r="D116" s="30"/>
      <c r="E116" s="30"/>
      <c r="F116" s="30"/>
      <c r="G116" s="30"/>
      <c r="H116" s="30"/>
      <c r="I116" s="30"/>
      <c r="J116" s="30"/>
      <c r="L116" s="30"/>
      <c r="M116" s="30"/>
      <c r="N116" s="30"/>
      <c r="O116" s="30"/>
      <c r="P116" s="30"/>
      <c r="Q116" s="30"/>
      <c r="R116" s="30"/>
      <c r="S116" s="30"/>
      <c r="T116" s="30"/>
      <c r="U116" s="30"/>
      <c r="V116" s="30"/>
      <c r="W116" s="30"/>
      <c r="X116" s="30"/>
      <c r="Y116" s="30"/>
      <c r="Z116" s="30"/>
      <c r="AA116" s="30"/>
    </row>
  </sheetData>
  <sheetProtection sheet="1" objects="1" formatCells="0" formatColumns="0" formatRows="0" sort="0" autoFilter="0"/>
  <conditionalFormatting sqref="H108">
    <cfRule type="cellIs" dxfId="185" priority="4" operator="greaterThan">
      <formula>0</formula>
    </cfRule>
  </conditionalFormatting>
  <conditionalFormatting sqref="H111:H114">
    <cfRule type="cellIs" dxfId="184" priority="3" operator="greaterThan">
      <formula>0</formula>
    </cfRule>
  </conditionalFormatting>
  <conditionalFormatting sqref="H114">
    <cfRule type="cellIs" dxfId="183" priority="2" operator="greaterThan">
      <formula>0</formula>
    </cfRule>
  </conditionalFormatting>
  <conditionalFormatting sqref="A4:XFD4">
    <cfRule type="expression" dxfId="182" priority="1">
      <formula>LEFT($A$4,1) &lt;&gt; "0"</formula>
    </cfRule>
  </conditionalFormatting>
  <dataValidations count="5">
    <dataValidation type="decimal" allowBlank="1" showInputMessage="1" showErrorMessage="1" errorTitle="Invalid LDNO discount" error="Invalid LDNO discount (negative number or unused cell)." sqref="H30:H33" xr:uid="{00000000-0002-0000-0800-000000000000}">
      <formula1>0</formula1>
      <formula2>1</formula2>
    </dataValidation>
    <dataValidation type="decimal" allowBlank="1" showInputMessage="1" showErrorMessage="1" sqref="H92" xr:uid="{00000000-0002-0000-0800-000001000000}">
      <formula1>365</formula1>
      <formula2>366</formula2>
    </dataValidation>
    <dataValidation type="decimal" operator="greaterThanOrEqual" allowBlank="1" showInputMessage="1" showErrorMessage="1" sqref="H102:H104 H16:H18 H97 H21:H23" xr:uid="{00000000-0002-0000-0800-000002000000}">
      <formula1>0</formula1>
    </dataValidation>
    <dataValidation type="decimal" operator="greaterThanOrEqual" allowBlank="1" showInputMessage="1" showErrorMessage="1" error="The rate of return must be a non-negative percentage value." sqref="H91" xr:uid="{00000000-0002-0000-0800-000003000000}">
      <formula1>0</formula1>
    </dataValidation>
    <dataValidation type="whole" allowBlank="1" showInputMessage="1" showErrorMessage="1" sqref="H93" xr:uid="{00000000-0002-0000-0800-000004000000}">
      <formula1>0</formula1>
      <formula2>9999</formula2>
    </dataValidation>
  </dataValidations>
  <hyperlinks>
    <hyperlink ref="B5:F5" location="'Model map'!A1" display="Click here to return to model map" xr:uid="{00000000-0004-0000-0800-000000000000}"/>
  </hyperlinks>
  <pageMargins left="0.7" right="0.7" top="0.75" bottom="0.75" header="0.3" footer="0.3"/>
  <pageSetup paperSize="9" fitToHeight="0" orientation="portrait" r:id="rId1"/>
  <headerFooter>
    <oddHeader>&amp;L&amp;A&amp;C&amp;R&amp;P of &amp;N</oddHeader>
    <oddFooter>&amp;F</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F0775047ED044E4AB8AE8CA3D9B75ECA" ma:contentTypeVersion="2" ma:contentTypeDescription="Create a new document." ma:contentTypeScope="" ma:versionID="05721c098920905ee0a7627685c8e168">
  <xsd:schema xmlns:xsd="http://www.w3.org/2001/XMLSchema" xmlns:xs="http://www.w3.org/2001/XMLSchema" xmlns:p="http://schemas.microsoft.com/office/2006/metadata/properties" xmlns:ns2="56525fcc-fd9b-4a18-b571-66fa38027e5b" targetNamespace="http://schemas.microsoft.com/office/2006/metadata/properties" ma:root="true" ma:fieldsID="738160ac3861714b7c51957dc4679198" ns2:_="">
    <xsd:import namespace="56525fcc-fd9b-4a18-b571-66fa38027e5b"/>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6525fcc-fd9b-4a18-b571-66fa38027e5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0433340-7BEC-4F3D-99D4-81DABA0ADC90}">
  <ds:schemaRefs>
    <ds:schemaRef ds:uri="http://purl.org/dc/dcmitype/"/>
    <ds:schemaRef ds:uri="http://www.w3.org/XML/1998/namespace"/>
    <ds:schemaRef ds:uri="http://schemas.microsoft.com/office/infopath/2007/PartnerControls"/>
    <ds:schemaRef ds:uri="http://schemas.openxmlformats.org/package/2006/metadata/core-properties"/>
    <ds:schemaRef ds:uri="http://purl.org/dc/elements/1.1/"/>
    <ds:schemaRef ds:uri="56525fcc-fd9b-4a18-b571-66fa38027e5b"/>
    <ds:schemaRef ds:uri="http://schemas.microsoft.com/office/2006/documentManagement/types"/>
    <ds:schemaRef ds:uri="http://schemas.microsoft.com/office/2006/metadata/properties"/>
    <ds:schemaRef ds:uri="http://purl.org/dc/terms/"/>
  </ds:schemaRefs>
</ds:datastoreItem>
</file>

<file path=customXml/itemProps2.xml><?xml version="1.0" encoding="utf-8"?>
<ds:datastoreItem xmlns:ds="http://schemas.openxmlformats.org/officeDocument/2006/customXml" ds:itemID="{AD672EFB-D87C-4F0C-B881-1D86437C27CF}">
  <ds:schemaRefs>
    <ds:schemaRef ds:uri="http://schemas.microsoft.com/sharepoint/v3/contenttype/forms"/>
  </ds:schemaRefs>
</ds:datastoreItem>
</file>

<file path=customXml/itemProps3.xml><?xml version="1.0" encoding="utf-8"?>
<ds:datastoreItem xmlns:ds="http://schemas.openxmlformats.org/officeDocument/2006/customXml" ds:itemID="{5D8966A7-FCF3-4564-90D6-B6429F6DB61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6525fcc-fd9b-4a18-b571-66fa38027e5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29</vt:i4>
      </vt:variant>
      <vt:variant>
        <vt:lpstr>Named Ranges</vt:lpstr>
      </vt:variant>
      <vt:variant>
        <vt:i4>10</vt:i4>
      </vt:variant>
    </vt:vector>
  </HeadingPairs>
  <TitlesOfParts>
    <vt:vector size="39" baseType="lpstr">
      <vt:lpstr>Cover</vt:lpstr>
      <vt:lpstr>Version control</vt:lpstr>
      <vt:lpstr>Model map</vt:lpstr>
      <vt:lpstr>Index</vt:lpstr>
      <vt:lpstr>Named ranges</vt:lpstr>
      <vt:lpstr>Fixed inputs</vt:lpstr>
      <vt:lpstr>Inputs by customer type</vt:lpstr>
      <vt:lpstr>Inputs by network level</vt:lpstr>
      <vt:lpstr>General inputs</vt:lpstr>
      <vt:lpstr>Standing charge factors</vt:lpstr>
      <vt:lpstr>Load &amp; loss characteristics</vt:lpstr>
      <vt:lpstr>Customer contributions</vt:lpstr>
      <vt:lpstr>Volume adjustments</vt:lpstr>
      <vt:lpstr>Pseudo-load coefficients</vt:lpstr>
      <vt:lpstr>System peak demand</vt:lpstr>
      <vt:lpstr>Service model assets</vt:lpstr>
      <vt:lpstr>Unit costs</vt:lpstr>
      <vt:lpstr>Initial unit rates</vt:lpstr>
      <vt:lpstr>Service model charges</vt:lpstr>
      <vt:lpstr>Unit rate charges</vt:lpstr>
      <vt:lpstr>Reactive power charges</vt:lpstr>
      <vt:lpstr>Capacity charges</vt:lpstr>
      <vt:lpstr>Fixed charges</vt:lpstr>
      <vt:lpstr>Revenue matching</vt:lpstr>
      <vt:lpstr>Fixed charge adder</vt:lpstr>
      <vt:lpstr>Rounding</vt:lpstr>
      <vt:lpstr>Net revenue summary</vt:lpstr>
      <vt:lpstr>Tariff summary</vt:lpstr>
      <vt:lpstr>Output to other models</vt:lpstr>
      <vt:lpstr>charging_year</vt:lpstr>
      <vt:lpstr>check_decimals</vt:lpstr>
      <vt:lpstr>days_in_year</vt:lpstr>
      <vt:lpstr>DNO_name</vt:lpstr>
      <vt:lpstr>hours_in_day</vt:lpstr>
      <vt:lpstr>hours_in_year</vt:lpstr>
      <vt:lpstr>hundred</vt:lpstr>
      <vt:lpstr>PowerFactor</vt:lpstr>
      <vt:lpstr>ten</vt:lpstr>
      <vt:lpstr>thousand</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Oliver Bubb-Humfryes</dc:creator>
  <cp:lastModifiedBy>Iberdrola S.A.</cp:lastModifiedBy>
  <cp:revision/>
  <dcterms:created xsi:type="dcterms:W3CDTF">2017-07-12T09:37:31Z</dcterms:created>
  <dcterms:modified xsi:type="dcterms:W3CDTF">2021-03-09T09:27:54Z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0x010100F0775047ED044E4AB8AE8CA3D9B75ECA</vt:lpwstr>
  </property>
  <property fmtid="{D5CDD505-2E9C-101B-9397-08002B2CF9AE}" pid="3" name="_AdHocReviewCycleID">
    <vt:i4>-1202819735</vt:i4>
  </property>
  <property fmtid="{D5CDD505-2E9C-101B-9397-08002B2CF9AE}" pid="4" name="_NewReviewCycle">
    <vt:lpwstr/>
  </property>
  <property fmtid="{D5CDD505-2E9C-101B-9397-08002B2CF9AE}" pid="5" name="_EmailSubject">
    <vt:lpwstr>SP Distribution / SP Manweb - 21/22  DUOS document updates Mar 21</vt:lpwstr>
  </property>
  <property fmtid="{D5CDD505-2E9C-101B-9397-08002B2CF9AE}" pid="6" name="_AuthorEmail">
    <vt:lpwstr>Kathryn.Evans@spenergynetworks.co.uk</vt:lpwstr>
  </property>
  <property fmtid="{D5CDD505-2E9C-101B-9397-08002B2CF9AE}" pid="7" name="_AuthorEmailDisplayName">
    <vt:lpwstr>Evans, Kathryn</vt:lpwstr>
  </property>
</Properties>
</file>